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Downloads\"/>
    </mc:Choice>
  </mc:AlternateContent>
  <xr:revisionPtr revIDLastSave="0" documentId="13_ncr:1_{7ECBDBAD-465A-4F13-B7F0-2D7924F2E2DC}" xr6:coauthVersionLast="47" xr6:coauthVersionMax="47" xr10:uidLastSave="{00000000-0000-0000-0000-000000000000}"/>
  <bookViews>
    <workbookView xWindow="-120" yWindow="-120" windowWidth="29040" windowHeight="15840" activeTab="1" xr2:uid="{00000000-000D-0000-FFFF-FFFF00000000}"/>
  </bookViews>
  <sheets>
    <sheet name="Фінансування" sheetId="1" r:id="rId1"/>
    <sheet name="кошторис витрат" sheetId="2" r:id="rId2"/>
    <sheet name="Реєстр документів" sheetId="3" r:id="rId3"/>
  </sheets>
  <externalReferences>
    <externalReference r:id="rId4"/>
  </externalReferences>
  <definedNames>
    <definedName name="_xlnm.Print_Area" localSheetId="1">'кошторис витрат'!$A$1:$AA$240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0" roundtripDataSignature="AMtx7mgSE3cTeTbofWZpU3lPJw7oWtaQog=="/>
    </ext>
  </extLst>
</workbook>
</file>

<file path=xl/calcChain.xml><?xml version="1.0" encoding="utf-8"?>
<calcChain xmlns="http://schemas.openxmlformats.org/spreadsheetml/2006/main">
  <c r="A5" i="2" l="1"/>
  <c r="A4" i="2"/>
  <c r="A3" i="2"/>
  <c r="A2" i="2"/>
  <c r="X235" i="2"/>
  <c r="W235" i="2"/>
  <c r="P235" i="2"/>
  <c r="M235" i="2"/>
  <c r="C27" i="1"/>
  <c r="N27" i="1" s="1"/>
  <c r="C28" i="1"/>
  <c r="N28" i="1" s="1"/>
  <c r="N29" i="1"/>
  <c r="J30" i="1"/>
  <c r="J29" i="1"/>
  <c r="J28" i="1"/>
  <c r="J27" i="1"/>
  <c r="E355" i="3"/>
  <c r="F355" i="3"/>
  <c r="G355" i="3"/>
  <c r="H355" i="3"/>
  <c r="I355" i="3"/>
  <c r="J355" i="3"/>
  <c r="D111" i="3" l="1"/>
  <c r="M169" i="2" l="1"/>
  <c r="M170" i="2"/>
  <c r="P169" i="2"/>
  <c r="P170" i="2"/>
  <c r="V168" i="2"/>
  <c r="V169" i="2"/>
  <c r="V170" i="2"/>
  <c r="S168" i="2"/>
  <c r="S169" i="2"/>
  <c r="S170" i="2"/>
  <c r="V163" i="2"/>
  <c r="V164" i="2"/>
  <c r="V165" i="2"/>
  <c r="V166" i="2"/>
  <c r="V167" i="2"/>
  <c r="S163" i="2"/>
  <c r="S164" i="2"/>
  <c r="S165" i="2"/>
  <c r="S166" i="2"/>
  <c r="S167" i="2"/>
  <c r="V139" i="2"/>
  <c r="V140" i="2"/>
  <c r="V141" i="2"/>
  <c r="V142" i="2"/>
  <c r="V143" i="2"/>
  <c r="V144" i="2"/>
  <c r="V145" i="2"/>
  <c r="V146" i="2"/>
  <c r="S139" i="2"/>
  <c r="S140" i="2"/>
  <c r="S141" i="2"/>
  <c r="S142" i="2"/>
  <c r="S143" i="2"/>
  <c r="S144" i="2"/>
  <c r="S145" i="2"/>
  <c r="S146" i="2"/>
  <c r="V25" i="2"/>
  <c r="V26" i="2"/>
  <c r="V27" i="2"/>
  <c r="V28" i="2"/>
  <c r="V29" i="2"/>
  <c r="V30" i="2"/>
  <c r="S25" i="2"/>
  <c r="S26" i="2"/>
  <c r="S27" i="2"/>
  <c r="S28" i="2"/>
  <c r="S29" i="2"/>
  <c r="S30" i="2"/>
  <c r="I483" i="3" l="1"/>
  <c r="I473" i="3"/>
  <c r="I471" i="3" s="1"/>
  <c r="F473" i="3"/>
  <c r="F471" i="3" s="1"/>
  <c r="I465" i="3"/>
  <c r="F465" i="3"/>
  <c r="F462" i="3" s="1"/>
  <c r="I464" i="3"/>
  <c r="I463" i="3"/>
  <c r="D455" i="3"/>
  <c r="I451" i="3"/>
  <c r="I449" i="3" s="1"/>
  <c r="F451" i="3"/>
  <c r="F449" i="3" s="1"/>
  <c r="D451" i="3"/>
  <c r="D446" i="3"/>
  <c r="D441" i="3"/>
  <c r="J440" i="3"/>
  <c r="D436" i="3"/>
  <c r="I431" i="3"/>
  <c r="F431" i="3"/>
  <c r="D431" i="3"/>
  <c r="I416" i="3"/>
  <c r="F416" i="3"/>
  <c r="D416" i="3"/>
  <c r="J410" i="3"/>
  <c r="H410" i="3"/>
  <c r="G410" i="3"/>
  <c r="D410" i="3"/>
  <c r="I406" i="3"/>
  <c r="I388" i="3" s="1"/>
  <c r="F388" i="3"/>
  <c r="D388" i="3"/>
  <c r="D363" i="3"/>
  <c r="D355" i="3"/>
  <c r="I349" i="3"/>
  <c r="I347" i="3"/>
  <c r="I338" i="3" s="1"/>
  <c r="F338" i="3"/>
  <c r="D338" i="3"/>
  <c r="I333" i="3"/>
  <c r="I332" i="3" s="1"/>
  <c r="F332" i="3"/>
  <c r="D332" i="3"/>
  <c r="I311" i="3"/>
  <c r="H311" i="3"/>
  <c r="G311" i="3"/>
  <c r="F311" i="3"/>
  <c r="E311" i="3"/>
  <c r="D311" i="3"/>
  <c r="D301" i="3"/>
  <c r="J298" i="3"/>
  <c r="I298" i="3"/>
  <c r="H298" i="3"/>
  <c r="F298" i="3"/>
  <c r="D298" i="3"/>
  <c r="I296" i="3"/>
  <c r="F296" i="3"/>
  <c r="D296" i="3"/>
  <c r="I284" i="3"/>
  <c r="I282" i="3"/>
  <c r="I273" i="3"/>
  <c r="F267" i="3"/>
  <c r="I263" i="3"/>
  <c r="I262" i="3"/>
  <c r="I261" i="3"/>
  <c r="I260" i="3"/>
  <c r="F260" i="3"/>
  <c r="F244" i="3" s="1"/>
  <c r="I259" i="3"/>
  <c r="I258" i="3"/>
  <c r="I257" i="3"/>
  <c r="I256" i="3"/>
  <c r="I255" i="3"/>
  <c r="I254" i="3"/>
  <c r="I253" i="3"/>
  <c r="I252" i="3"/>
  <c r="I251" i="3"/>
  <c r="I250" i="3"/>
  <c r="I249" i="3"/>
  <c r="I248" i="3"/>
  <c r="I247" i="3"/>
  <c r="I246" i="3"/>
  <c r="I245" i="3"/>
  <c r="I243" i="3"/>
  <c r="I241" i="3"/>
  <c r="I240" i="3" s="1"/>
  <c r="F241" i="3"/>
  <c r="F240" i="3" s="1"/>
  <c r="I238" i="3"/>
  <c r="I237" i="3"/>
  <c r="I232" i="3"/>
  <c r="I227" i="3"/>
  <c r="F227" i="3"/>
  <c r="I224" i="3"/>
  <c r="I223" i="3" s="1"/>
  <c r="F223" i="3"/>
  <c r="I221" i="3"/>
  <c r="I220" i="3"/>
  <c r="F217" i="3"/>
  <c r="F216" i="3"/>
  <c r="F215" i="3"/>
  <c r="F214" i="3"/>
  <c r="D205" i="3"/>
  <c r="D201" i="3"/>
  <c r="I193" i="3"/>
  <c r="I192" i="3" s="1"/>
  <c r="F193" i="3"/>
  <c r="F192" i="3" s="1"/>
  <c r="D192" i="3"/>
  <c r="I187" i="3"/>
  <c r="F187" i="3"/>
  <c r="D187" i="3"/>
  <c r="H186" i="3"/>
  <c r="G186" i="3"/>
  <c r="I183" i="3"/>
  <c r="I182" i="3" s="1"/>
  <c r="F182" i="3"/>
  <c r="D182" i="3"/>
  <c r="I176" i="3"/>
  <c r="I175" i="3" s="1"/>
  <c r="F176" i="3"/>
  <c r="F175" i="3" s="1"/>
  <c r="I171" i="3"/>
  <c r="I170" i="3" s="1"/>
  <c r="F170" i="3"/>
  <c r="I167" i="3"/>
  <c r="F163" i="3"/>
  <c r="F162" i="3"/>
  <c r="F160" i="3"/>
  <c r="I159" i="3"/>
  <c r="I157" i="3"/>
  <c r="I155" i="3" s="1"/>
  <c r="F155" i="3"/>
  <c r="I149" i="3"/>
  <c r="F149" i="3"/>
  <c r="I142" i="3"/>
  <c r="F142" i="3"/>
  <c r="D142" i="3"/>
  <c r="I135" i="3"/>
  <c r="F135" i="3"/>
  <c r="I133" i="3"/>
  <c r="I132" i="3" s="1"/>
  <c r="F132" i="3"/>
  <c r="I130" i="3"/>
  <c r="I129" i="3" s="1"/>
  <c r="F129" i="3"/>
  <c r="I115" i="3"/>
  <c r="I114" i="3" s="1"/>
  <c r="F114" i="3"/>
  <c r="I87" i="3"/>
  <c r="D86" i="3"/>
  <c r="D78" i="3"/>
  <c r="I76" i="3"/>
  <c r="I74" i="3"/>
  <c r="I65" i="3"/>
  <c r="F65" i="3"/>
  <c r="F63" i="3"/>
  <c r="I59" i="3"/>
  <c r="I58" i="3" s="1"/>
  <c r="F58" i="3"/>
  <c r="E57" i="3"/>
  <c r="D57" i="3"/>
  <c r="J51" i="3"/>
  <c r="I51" i="3"/>
  <c r="F51" i="3"/>
  <c r="D51" i="3"/>
  <c r="I32" i="3"/>
  <c r="I29" i="3" s="1"/>
  <c r="F29" i="3"/>
  <c r="D29" i="3"/>
  <c r="I28" i="3"/>
  <c r="F28" i="3" s="1"/>
  <c r="I27" i="3"/>
  <c r="F27" i="3"/>
  <c r="I26" i="3"/>
  <c r="F26" i="3"/>
  <c r="I25" i="3"/>
  <c r="I24" i="3"/>
  <c r="I23" i="3"/>
  <c r="I22" i="3"/>
  <c r="I21" i="3"/>
  <c r="I20" i="3"/>
  <c r="D19" i="3"/>
  <c r="F14" i="3"/>
  <c r="D14" i="3"/>
  <c r="J216" i="2"/>
  <c r="P221" i="2"/>
  <c r="J198" i="2"/>
  <c r="J164" i="2"/>
  <c r="I267" i="3" l="1"/>
  <c r="I162" i="3"/>
  <c r="I148" i="3" s="1"/>
  <c r="I211" i="3"/>
  <c r="F211" i="3"/>
  <c r="D186" i="3"/>
  <c r="I244" i="3"/>
  <c r="D440" i="3"/>
  <c r="D487" i="3" s="1"/>
  <c r="F111" i="3"/>
  <c r="F205" i="3"/>
  <c r="F186" i="3" s="1"/>
  <c r="I57" i="3"/>
  <c r="I462" i="3"/>
  <c r="I455" i="3" s="1"/>
  <c r="I440" i="3" s="1"/>
  <c r="I487" i="3" s="1"/>
  <c r="F455" i="3"/>
  <c r="F440" i="3" s="1"/>
  <c r="F487" i="3" s="1"/>
  <c r="F57" i="3"/>
  <c r="I19" i="3"/>
  <c r="F19" i="3"/>
  <c r="D287" i="3"/>
  <c r="I111" i="3"/>
  <c r="F159" i="3"/>
  <c r="F148" i="3" s="1"/>
  <c r="J161" i="2"/>
  <c r="J214" i="2"/>
  <c r="G198" i="2"/>
  <c r="G175" i="2"/>
  <c r="G169" i="2"/>
  <c r="G165" i="2"/>
  <c r="J131" i="2"/>
  <c r="J79" i="2"/>
  <c r="G79" i="2"/>
  <c r="J77" i="2"/>
  <c r="J70" i="2"/>
  <c r="J66" i="2"/>
  <c r="G131" i="2"/>
  <c r="G133" i="2"/>
  <c r="G144" i="2"/>
  <c r="I132" i="2"/>
  <c r="G186" i="2"/>
  <c r="I205" i="3" l="1"/>
  <c r="I186" i="3" s="1"/>
  <c r="I287" i="3"/>
  <c r="F287" i="3"/>
  <c r="J169" i="2"/>
  <c r="V235" i="2"/>
  <c r="S235" i="2"/>
  <c r="J235" i="2"/>
  <c r="G235" i="2"/>
  <c r="I232" i="2"/>
  <c r="V231" i="2"/>
  <c r="S231" i="2"/>
  <c r="P231" i="2"/>
  <c r="X231" i="2" s="1"/>
  <c r="M231" i="2"/>
  <c r="G231" i="2"/>
  <c r="P230" i="2"/>
  <c r="M230" i="2"/>
  <c r="J230" i="2"/>
  <c r="G230" i="2"/>
  <c r="P229" i="2"/>
  <c r="M229" i="2"/>
  <c r="J229" i="2"/>
  <c r="G229" i="2"/>
  <c r="P228" i="2"/>
  <c r="M228" i="2"/>
  <c r="J228" i="2"/>
  <c r="G228" i="2"/>
  <c r="P227" i="2"/>
  <c r="M227" i="2"/>
  <c r="J227" i="2"/>
  <c r="G227" i="2"/>
  <c r="P226" i="2"/>
  <c r="M226" i="2"/>
  <c r="J226" i="2"/>
  <c r="G226" i="2"/>
  <c r="P225" i="2"/>
  <c r="X225" i="2" s="1"/>
  <c r="M225" i="2"/>
  <c r="G225" i="2"/>
  <c r="P224" i="2"/>
  <c r="M224" i="2"/>
  <c r="J224" i="2"/>
  <c r="G224" i="2"/>
  <c r="P223" i="2"/>
  <c r="M223" i="2"/>
  <c r="J223" i="2"/>
  <c r="G223" i="2"/>
  <c r="P222" i="2"/>
  <c r="X222" i="2" s="1"/>
  <c r="M222" i="2"/>
  <c r="G222" i="2"/>
  <c r="S221" i="2"/>
  <c r="M221" i="2"/>
  <c r="J221" i="2"/>
  <c r="G221" i="2"/>
  <c r="S220" i="2"/>
  <c r="P220" i="2"/>
  <c r="M220" i="2"/>
  <c r="J220" i="2"/>
  <c r="G220" i="2"/>
  <c r="S219" i="2"/>
  <c r="P219" i="2"/>
  <c r="M219" i="2"/>
  <c r="J219" i="2"/>
  <c r="G219" i="2"/>
  <c r="W219" i="2" s="1"/>
  <c r="S218" i="2"/>
  <c r="P218" i="2"/>
  <c r="M218" i="2"/>
  <c r="J218" i="2"/>
  <c r="G218" i="2"/>
  <c r="S217" i="2"/>
  <c r="P217" i="2"/>
  <c r="M217" i="2"/>
  <c r="J217" i="2"/>
  <c r="G217" i="2"/>
  <c r="S216" i="2"/>
  <c r="P216" i="2"/>
  <c r="X216" i="2" s="1"/>
  <c r="M216" i="2"/>
  <c r="G216" i="2"/>
  <c r="S215" i="2"/>
  <c r="P215" i="2"/>
  <c r="M215" i="2"/>
  <c r="J215" i="2"/>
  <c r="G215" i="2"/>
  <c r="S214" i="2"/>
  <c r="P214" i="2"/>
  <c r="X214" i="2" s="1"/>
  <c r="M214" i="2"/>
  <c r="G214" i="2"/>
  <c r="V213" i="2"/>
  <c r="S213" i="2"/>
  <c r="M213" i="2"/>
  <c r="J213" i="2"/>
  <c r="G213" i="2"/>
  <c r="V212" i="2"/>
  <c r="S212" i="2"/>
  <c r="P212" i="2"/>
  <c r="M212" i="2"/>
  <c r="J212" i="2"/>
  <c r="G212" i="2"/>
  <c r="V211" i="2"/>
  <c r="S211" i="2"/>
  <c r="P211" i="2"/>
  <c r="M211" i="2"/>
  <c r="J211" i="2"/>
  <c r="G211" i="2"/>
  <c r="V210" i="2"/>
  <c r="S210" i="2"/>
  <c r="P210" i="2"/>
  <c r="M210" i="2"/>
  <c r="J210" i="2"/>
  <c r="G210" i="2"/>
  <c r="V209" i="2"/>
  <c r="S209" i="2"/>
  <c r="P209" i="2"/>
  <c r="M209" i="2"/>
  <c r="J209" i="2"/>
  <c r="G209" i="2"/>
  <c r="V208" i="2"/>
  <c r="S208" i="2"/>
  <c r="P208" i="2"/>
  <c r="M208" i="2"/>
  <c r="J208" i="2"/>
  <c r="G208" i="2"/>
  <c r="V207" i="2"/>
  <c r="S207" i="2"/>
  <c r="P207" i="2"/>
  <c r="M207" i="2"/>
  <c r="J207" i="2"/>
  <c r="G207" i="2"/>
  <c r="T206" i="2"/>
  <c r="Q206" i="2"/>
  <c r="N206" i="2"/>
  <c r="K206" i="2"/>
  <c r="H206" i="2"/>
  <c r="E206" i="2"/>
  <c r="V205" i="2"/>
  <c r="S205" i="2"/>
  <c r="P205" i="2"/>
  <c r="M205" i="2"/>
  <c r="J205" i="2"/>
  <c r="G205" i="2"/>
  <c r="V204" i="2"/>
  <c r="S204" i="2"/>
  <c r="P204" i="2"/>
  <c r="M204" i="2"/>
  <c r="M202" i="2" s="1"/>
  <c r="J204" i="2"/>
  <c r="G204" i="2"/>
  <c r="V203" i="2"/>
  <c r="S203" i="2"/>
  <c r="P203" i="2"/>
  <c r="M203" i="2"/>
  <c r="J203" i="2"/>
  <c r="G203" i="2"/>
  <c r="T202" i="2"/>
  <c r="Q202" i="2"/>
  <c r="N202" i="2"/>
  <c r="K202" i="2"/>
  <c r="H202" i="2"/>
  <c r="E202" i="2"/>
  <c r="V201" i="2"/>
  <c r="S201" i="2"/>
  <c r="P201" i="2"/>
  <c r="M201" i="2"/>
  <c r="J201" i="2"/>
  <c r="G201" i="2"/>
  <c r="V200" i="2"/>
  <c r="S200" i="2"/>
  <c r="P200" i="2"/>
  <c r="M200" i="2"/>
  <c r="J200" i="2"/>
  <c r="G200" i="2"/>
  <c r="V199" i="2"/>
  <c r="S199" i="2"/>
  <c r="P199" i="2"/>
  <c r="M199" i="2"/>
  <c r="J199" i="2"/>
  <c r="G199" i="2"/>
  <c r="V198" i="2"/>
  <c r="S198" i="2"/>
  <c r="P198" i="2"/>
  <c r="M198" i="2"/>
  <c r="W198" i="2" s="1"/>
  <c r="T197" i="2"/>
  <c r="Q197" i="2"/>
  <c r="N197" i="2"/>
  <c r="K197" i="2"/>
  <c r="H197" i="2"/>
  <c r="E197" i="2"/>
  <c r="V196" i="2"/>
  <c r="S196" i="2"/>
  <c r="P196" i="2"/>
  <c r="M196" i="2"/>
  <c r="J196" i="2"/>
  <c r="G196" i="2"/>
  <c r="V195" i="2"/>
  <c r="S195" i="2"/>
  <c r="P195" i="2"/>
  <c r="M195" i="2"/>
  <c r="J195" i="2"/>
  <c r="G195" i="2"/>
  <c r="V194" i="2"/>
  <c r="S194" i="2"/>
  <c r="P194" i="2"/>
  <c r="M194" i="2"/>
  <c r="J194" i="2"/>
  <c r="G194" i="2"/>
  <c r="V193" i="2"/>
  <c r="S193" i="2"/>
  <c r="P193" i="2"/>
  <c r="M193" i="2"/>
  <c r="J193" i="2"/>
  <c r="G193" i="2"/>
  <c r="T192" i="2"/>
  <c r="Q192" i="2"/>
  <c r="N192" i="2"/>
  <c r="K192" i="2"/>
  <c r="H192" i="2"/>
  <c r="E192" i="2"/>
  <c r="T190" i="2"/>
  <c r="Q190" i="2"/>
  <c r="N190" i="2"/>
  <c r="K190" i="2"/>
  <c r="H190" i="2"/>
  <c r="E190" i="2"/>
  <c r="V189" i="2"/>
  <c r="S189" i="2"/>
  <c r="P189" i="2"/>
  <c r="M189" i="2"/>
  <c r="J189" i="2"/>
  <c r="G189" i="2"/>
  <c r="V188" i="2"/>
  <c r="S188" i="2"/>
  <c r="P188" i="2"/>
  <c r="M188" i="2"/>
  <c r="J188" i="2"/>
  <c r="G188" i="2"/>
  <c r="V187" i="2"/>
  <c r="S187" i="2"/>
  <c r="P187" i="2"/>
  <c r="M187" i="2"/>
  <c r="J187" i="2"/>
  <c r="G187" i="2"/>
  <c r="V186" i="2"/>
  <c r="S186" i="2"/>
  <c r="P186" i="2"/>
  <c r="M186" i="2"/>
  <c r="J186" i="2"/>
  <c r="T184" i="2"/>
  <c r="Q184" i="2"/>
  <c r="N184" i="2"/>
  <c r="K184" i="2"/>
  <c r="H184" i="2"/>
  <c r="E184" i="2"/>
  <c r="V183" i="2"/>
  <c r="S183" i="2"/>
  <c r="P183" i="2"/>
  <c r="M183" i="2"/>
  <c r="J183" i="2"/>
  <c r="G183" i="2"/>
  <c r="V182" i="2"/>
  <c r="S182" i="2"/>
  <c r="P182" i="2"/>
  <c r="P184" i="2" s="1"/>
  <c r="M182" i="2"/>
  <c r="J182" i="2"/>
  <c r="G182" i="2"/>
  <c r="T180" i="2"/>
  <c r="Q180" i="2"/>
  <c r="N180" i="2"/>
  <c r="K180" i="2"/>
  <c r="H180" i="2"/>
  <c r="E180" i="2"/>
  <c r="V179" i="2"/>
  <c r="S179" i="2"/>
  <c r="P179" i="2"/>
  <c r="M179" i="2"/>
  <c r="J179" i="2"/>
  <c r="G179" i="2"/>
  <c r="V178" i="2"/>
  <c r="S178" i="2"/>
  <c r="P178" i="2"/>
  <c r="M178" i="2"/>
  <c r="J178" i="2"/>
  <c r="G178" i="2"/>
  <c r="V177" i="2"/>
  <c r="S177" i="2"/>
  <c r="P177" i="2"/>
  <c r="M177" i="2"/>
  <c r="J177" i="2"/>
  <c r="G177" i="2"/>
  <c r="V176" i="2"/>
  <c r="S176" i="2"/>
  <c r="P176" i="2"/>
  <c r="M176" i="2"/>
  <c r="J176" i="2"/>
  <c r="G176" i="2"/>
  <c r="V175" i="2"/>
  <c r="S175" i="2"/>
  <c r="P175" i="2"/>
  <c r="M175" i="2"/>
  <c r="J175" i="2"/>
  <c r="T173" i="2"/>
  <c r="Q173" i="2"/>
  <c r="N173" i="2"/>
  <c r="K173" i="2"/>
  <c r="H173" i="2"/>
  <c r="E173" i="2"/>
  <c r="V171" i="2"/>
  <c r="S171" i="2"/>
  <c r="P171" i="2"/>
  <c r="M171" i="2"/>
  <c r="J171" i="2"/>
  <c r="G171" i="2"/>
  <c r="J170" i="2"/>
  <c r="X170" i="2" s="1"/>
  <c r="G170" i="2"/>
  <c r="W170" i="2" s="1"/>
  <c r="X169" i="2"/>
  <c r="W169" i="2"/>
  <c r="P168" i="2"/>
  <c r="M168" i="2"/>
  <c r="J168" i="2"/>
  <c r="G168" i="2"/>
  <c r="P167" i="2"/>
  <c r="M167" i="2"/>
  <c r="J167" i="2"/>
  <c r="G167" i="2"/>
  <c r="P166" i="2"/>
  <c r="M166" i="2"/>
  <c r="J166" i="2"/>
  <c r="G166" i="2"/>
  <c r="P165" i="2"/>
  <c r="M165" i="2"/>
  <c r="J165" i="2"/>
  <c r="P164" i="2"/>
  <c r="M164" i="2"/>
  <c r="G164" i="2"/>
  <c r="W164" i="2" s="1"/>
  <c r="P163" i="2"/>
  <c r="M163" i="2"/>
  <c r="J163" i="2"/>
  <c r="G163" i="2"/>
  <c r="W163" i="2" s="1"/>
  <c r="V162" i="2"/>
  <c r="S162" i="2"/>
  <c r="P162" i="2"/>
  <c r="M162" i="2"/>
  <c r="J162" i="2"/>
  <c r="G162" i="2"/>
  <c r="V161" i="2"/>
  <c r="S161" i="2"/>
  <c r="P161" i="2"/>
  <c r="M161" i="2"/>
  <c r="G161" i="2"/>
  <c r="V160" i="2"/>
  <c r="S160" i="2"/>
  <c r="P160" i="2"/>
  <c r="M160" i="2"/>
  <c r="J160" i="2"/>
  <c r="G160" i="2"/>
  <c r="V159" i="2"/>
  <c r="S159" i="2"/>
  <c r="P159" i="2"/>
  <c r="M159" i="2"/>
  <c r="J159" i="2"/>
  <c r="G159" i="2"/>
  <c r="V158" i="2"/>
  <c r="S158" i="2"/>
  <c r="P158" i="2"/>
  <c r="M158" i="2"/>
  <c r="J158" i="2"/>
  <c r="G158" i="2"/>
  <c r="T156" i="2"/>
  <c r="Q156" i="2"/>
  <c r="N156" i="2"/>
  <c r="K156" i="2"/>
  <c r="H156" i="2"/>
  <c r="E156" i="2"/>
  <c r="V155" i="2"/>
  <c r="S155" i="2"/>
  <c r="P155" i="2"/>
  <c r="M155" i="2"/>
  <c r="J155" i="2"/>
  <c r="G155" i="2"/>
  <c r="V154" i="2"/>
  <c r="S154" i="2"/>
  <c r="P154" i="2"/>
  <c r="M154" i="2"/>
  <c r="J154" i="2"/>
  <c r="G154" i="2"/>
  <c r="V153" i="2"/>
  <c r="S153" i="2"/>
  <c r="P153" i="2"/>
  <c r="M153" i="2"/>
  <c r="J153" i="2"/>
  <c r="G153" i="2"/>
  <c r="V152" i="2"/>
  <c r="S152" i="2"/>
  <c r="P152" i="2"/>
  <c r="M152" i="2"/>
  <c r="J152" i="2"/>
  <c r="G152" i="2"/>
  <c r="V151" i="2"/>
  <c r="S151" i="2"/>
  <c r="P151" i="2"/>
  <c r="M151" i="2"/>
  <c r="J151" i="2"/>
  <c r="G151" i="2"/>
  <c r="V150" i="2"/>
  <c r="S150" i="2"/>
  <c r="P150" i="2"/>
  <c r="M150" i="2"/>
  <c r="J150" i="2"/>
  <c r="G150" i="2"/>
  <c r="T148" i="2"/>
  <c r="Q148" i="2"/>
  <c r="N148" i="2"/>
  <c r="K148" i="2"/>
  <c r="H148" i="2"/>
  <c r="E148" i="2"/>
  <c r="V147" i="2"/>
  <c r="S147" i="2"/>
  <c r="P147" i="2"/>
  <c r="M147" i="2"/>
  <c r="J147" i="2"/>
  <c r="G147" i="2"/>
  <c r="P146" i="2"/>
  <c r="X146" i="2" s="1"/>
  <c r="M146" i="2"/>
  <c r="W146" i="2" s="1"/>
  <c r="P145" i="2"/>
  <c r="M145" i="2"/>
  <c r="J145" i="2"/>
  <c r="G145" i="2"/>
  <c r="P144" i="2"/>
  <c r="M144" i="2"/>
  <c r="J144" i="2"/>
  <c r="P143" i="2"/>
  <c r="M143" i="2"/>
  <c r="J143" i="2"/>
  <c r="G143" i="2"/>
  <c r="P142" i="2"/>
  <c r="M142" i="2"/>
  <c r="J142" i="2"/>
  <c r="G142" i="2"/>
  <c r="P141" i="2"/>
  <c r="M141" i="2"/>
  <c r="J141" i="2"/>
  <c r="G141" i="2"/>
  <c r="P140" i="2"/>
  <c r="M140" i="2"/>
  <c r="J140" i="2"/>
  <c r="G140" i="2"/>
  <c r="P139" i="2"/>
  <c r="M139" i="2"/>
  <c r="J139" i="2"/>
  <c r="G139" i="2"/>
  <c r="W139" i="2" s="1"/>
  <c r="V138" i="2"/>
  <c r="S138" i="2"/>
  <c r="P138" i="2"/>
  <c r="M138" i="2"/>
  <c r="J138" i="2"/>
  <c r="G138" i="2"/>
  <c r="V137" i="2"/>
  <c r="S137" i="2"/>
  <c r="P137" i="2"/>
  <c r="M137" i="2"/>
  <c r="J137" i="2"/>
  <c r="G137" i="2"/>
  <c r="V136" i="2"/>
  <c r="S136" i="2"/>
  <c r="P136" i="2"/>
  <c r="M136" i="2"/>
  <c r="J136" i="2"/>
  <c r="G136" i="2"/>
  <c r="V135" i="2"/>
  <c r="S135" i="2"/>
  <c r="P135" i="2"/>
  <c r="M135" i="2"/>
  <c r="J135" i="2"/>
  <c r="G135" i="2"/>
  <c r="V134" i="2"/>
  <c r="S134" i="2"/>
  <c r="P134" i="2"/>
  <c r="M134" i="2"/>
  <c r="J134" i="2"/>
  <c r="G134" i="2"/>
  <c r="V133" i="2"/>
  <c r="S133" i="2"/>
  <c r="P133" i="2"/>
  <c r="M133" i="2"/>
  <c r="J133" i="2"/>
  <c r="V132" i="2"/>
  <c r="S132" i="2"/>
  <c r="P132" i="2"/>
  <c r="M132" i="2"/>
  <c r="G132" i="2"/>
  <c r="V131" i="2"/>
  <c r="S131" i="2"/>
  <c r="P131" i="2"/>
  <c r="M131" i="2"/>
  <c r="V130" i="2"/>
  <c r="S130" i="2"/>
  <c r="P130" i="2"/>
  <c r="M130" i="2"/>
  <c r="J130" i="2"/>
  <c r="G130" i="2"/>
  <c r="V129" i="2"/>
  <c r="S129" i="2"/>
  <c r="P129" i="2"/>
  <c r="M129" i="2"/>
  <c r="J129" i="2"/>
  <c r="G129" i="2"/>
  <c r="V126" i="2"/>
  <c r="S126" i="2"/>
  <c r="P126" i="2"/>
  <c r="M126" i="2"/>
  <c r="J126" i="2"/>
  <c r="G126" i="2"/>
  <c r="V125" i="2"/>
  <c r="S125" i="2"/>
  <c r="P125" i="2"/>
  <c r="M125" i="2"/>
  <c r="J125" i="2"/>
  <c r="G125" i="2"/>
  <c r="V124" i="2"/>
  <c r="S124" i="2"/>
  <c r="P124" i="2"/>
  <c r="M124" i="2"/>
  <c r="J124" i="2"/>
  <c r="G124" i="2"/>
  <c r="T123" i="2"/>
  <c r="Q123" i="2"/>
  <c r="N123" i="2"/>
  <c r="K123" i="2"/>
  <c r="H123" i="2"/>
  <c r="E123" i="2"/>
  <c r="V122" i="2"/>
  <c r="S122" i="2"/>
  <c r="P122" i="2"/>
  <c r="M122" i="2"/>
  <c r="J122" i="2"/>
  <c r="G122" i="2"/>
  <c r="V121" i="2"/>
  <c r="S121" i="2"/>
  <c r="P121" i="2"/>
  <c r="M121" i="2"/>
  <c r="J121" i="2"/>
  <c r="G121" i="2"/>
  <c r="V120" i="2"/>
  <c r="S120" i="2"/>
  <c r="P120" i="2"/>
  <c r="M120" i="2"/>
  <c r="J120" i="2"/>
  <c r="G120" i="2"/>
  <c r="T119" i="2"/>
  <c r="Q119" i="2"/>
  <c r="N119" i="2"/>
  <c r="K119" i="2"/>
  <c r="H119" i="2"/>
  <c r="E119" i="2"/>
  <c r="V118" i="2"/>
  <c r="S118" i="2"/>
  <c r="P118" i="2"/>
  <c r="M118" i="2"/>
  <c r="J118" i="2"/>
  <c r="G118" i="2"/>
  <c r="V117" i="2"/>
  <c r="S117" i="2"/>
  <c r="P117" i="2"/>
  <c r="M117" i="2"/>
  <c r="J117" i="2"/>
  <c r="G117" i="2"/>
  <c r="V116" i="2"/>
  <c r="S116" i="2"/>
  <c r="P116" i="2"/>
  <c r="M116" i="2"/>
  <c r="J116" i="2"/>
  <c r="G116" i="2"/>
  <c r="T115" i="2"/>
  <c r="Q115" i="2"/>
  <c r="N115" i="2"/>
  <c r="K115" i="2"/>
  <c r="H115" i="2"/>
  <c r="E115" i="2"/>
  <c r="V112" i="2"/>
  <c r="S112" i="2"/>
  <c r="P112" i="2"/>
  <c r="M112" i="2"/>
  <c r="J112" i="2"/>
  <c r="G112" i="2"/>
  <c r="V111" i="2"/>
  <c r="S111" i="2"/>
  <c r="P111" i="2"/>
  <c r="M111" i="2"/>
  <c r="J111" i="2"/>
  <c r="G111" i="2"/>
  <c r="V110" i="2"/>
  <c r="S110" i="2"/>
  <c r="P110" i="2"/>
  <c r="M110" i="2"/>
  <c r="J110" i="2"/>
  <c r="G110" i="2"/>
  <c r="T109" i="2"/>
  <c r="Q109" i="2"/>
  <c r="N109" i="2"/>
  <c r="K109" i="2"/>
  <c r="H109" i="2"/>
  <c r="E109" i="2"/>
  <c r="V108" i="2"/>
  <c r="S108" i="2"/>
  <c r="P108" i="2"/>
  <c r="M108" i="2"/>
  <c r="J108" i="2"/>
  <c r="G108" i="2"/>
  <c r="V107" i="2"/>
  <c r="S107" i="2"/>
  <c r="P107" i="2"/>
  <c r="M107" i="2"/>
  <c r="J107" i="2"/>
  <c r="G107" i="2"/>
  <c r="V106" i="2"/>
  <c r="S106" i="2"/>
  <c r="P106" i="2"/>
  <c r="M106" i="2"/>
  <c r="J106" i="2"/>
  <c r="G106" i="2"/>
  <c r="T105" i="2"/>
  <c r="Q105" i="2"/>
  <c r="N105" i="2"/>
  <c r="K105" i="2"/>
  <c r="H105" i="2"/>
  <c r="E105" i="2"/>
  <c r="V104" i="2"/>
  <c r="S104" i="2"/>
  <c r="P104" i="2"/>
  <c r="M104" i="2"/>
  <c r="J104" i="2"/>
  <c r="G104" i="2"/>
  <c r="V103" i="2"/>
  <c r="S103" i="2"/>
  <c r="P103" i="2"/>
  <c r="M103" i="2"/>
  <c r="J103" i="2"/>
  <c r="G103" i="2"/>
  <c r="V102" i="2"/>
  <c r="S102" i="2"/>
  <c r="P102" i="2"/>
  <c r="M102" i="2"/>
  <c r="J102" i="2"/>
  <c r="G102" i="2"/>
  <c r="T101" i="2"/>
  <c r="Q101" i="2"/>
  <c r="N101" i="2"/>
  <c r="K101" i="2"/>
  <c r="H101" i="2"/>
  <c r="E101" i="2"/>
  <c r="V98" i="2"/>
  <c r="S98" i="2"/>
  <c r="P98" i="2"/>
  <c r="M98" i="2"/>
  <c r="J98" i="2"/>
  <c r="G98" i="2"/>
  <c r="V97" i="2"/>
  <c r="S97" i="2"/>
  <c r="P97" i="2"/>
  <c r="M97" i="2"/>
  <c r="J97" i="2"/>
  <c r="G97" i="2"/>
  <c r="V96" i="2"/>
  <c r="S96" i="2"/>
  <c r="P96" i="2"/>
  <c r="M96" i="2"/>
  <c r="J96" i="2"/>
  <c r="G96" i="2"/>
  <c r="T95" i="2"/>
  <c r="Q95" i="2"/>
  <c r="P95" i="2"/>
  <c r="N95" i="2"/>
  <c r="K95" i="2"/>
  <c r="H95" i="2"/>
  <c r="E95" i="2"/>
  <c r="V94" i="2"/>
  <c r="S94" i="2"/>
  <c r="P94" i="2"/>
  <c r="M94" i="2"/>
  <c r="J94" i="2"/>
  <c r="G94" i="2"/>
  <c r="V93" i="2"/>
  <c r="S93" i="2"/>
  <c r="P93" i="2"/>
  <c r="M93" i="2"/>
  <c r="J93" i="2"/>
  <c r="G93" i="2"/>
  <c r="V92" i="2"/>
  <c r="S92" i="2"/>
  <c r="P92" i="2"/>
  <c r="M92" i="2"/>
  <c r="J92" i="2"/>
  <c r="G92" i="2"/>
  <c r="T91" i="2"/>
  <c r="Q91" i="2"/>
  <c r="N91" i="2"/>
  <c r="K91" i="2"/>
  <c r="H91" i="2"/>
  <c r="E91" i="2"/>
  <c r="V90" i="2"/>
  <c r="S90" i="2"/>
  <c r="P90" i="2"/>
  <c r="M90" i="2"/>
  <c r="J90" i="2"/>
  <c r="G90" i="2"/>
  <c r="V89" i="2"/>
  <c r="S89" i="2"/>
  <c r="P89" i="2"/>
  <c r="M89" i="2"/>
  <c r="J89" i="2"/>
  <c r="G89" i="2"/>
  <c r="V88" i="2"/>
  <c r="S88" i="2"/>
  <c r="P88" i="2"/>
  <c r="P87" i="2" s="1"/>
  <c r="M88" i="2"/>
  <c r="M87" i="2" s="1"/>
  <c r="J88" i="2"/>
  <c r="G88" i="2"/>
  <c r="T87" i="2"/>
  <c r="Q87" i="2"/>
  <c r="N87" i="2"/>
  <c r="K87" i="2"/>
  <c r="H87" i="2"/>
  <c r="E87" i="2"/>
  <c r="P86" i="2"/>
  <c r="J86" i="2"/>
  <c r="G86" i="2"/>
  <c r="W86" i="2" s="1"/>
  <c r="P85" i="2"/>
  <c r="M85" i="2"/>
  <c r="J85" i="2"/>
  <c r="G85" i="2"/>
  <c r="P84" i="2"/>
  <c r="M84" i="2"/>
  <c r="J84" i="2"/>
  <c r="G84" i="2"/>
  <c r="P83" i="2"/>
  <c r="M83" i="2"/>
  <c r="J83" i="2"/>
  <c r="G83" i="2"/>
  <c r="P82" i="2"/>
  <c r="M82" i="2"/>
  <c r="J82" i="2"/>
  <c r="G82" i="2"/>
  <c r="P81" i="2"/>
  <c r="M81" i="2"/>
  <c r="J81" i="2"/>
  <c r="G81" i="2"/>
  <c r="P80" i="2"/>
  <c r="M80" i="2"/>
  <c r="J80" i="2"/>
  <c r="G80" i="2"/>
  <c r="P79" i="2"/>
  <c r="M79" i="2"/>
  <c r="P78" i="2"/>
  <c r="M78" i="2"/>
  <c r="J78" i="2"/>
  <c r="G78" i="2"/>
  <c r="P77" i="2"/>
  <c r="X77" i="2" s="1"/>
  <c r="M77" i="2"/>
  <c r="G77" i="2"/>
  <c r="P76" i="2"/>
  <c r="M76" i="2"/>
  <c r="J76" i="2"/>
  <c r="G76" i="2"/>
  <c r="P75" i="2"/>
  <c r="M75" i="2"/>
  <c r="J75" i="2"/>
  <c r="X75" i="2" s="1"/>
  <c r="G75" i="2"/>
  <c r="V74" i="2"/>
  <c r="S74" i="2"/>
  <c r="P74" i="2"/>
  <c r="M74" i="2"/>
  <c r="J74" i="2"/>
  <c r="G74" i="2"/>
  <c r="V73" i="2"/>
  <c r="S73" i="2"/>
  <c r="P73" i="2"/>
  <c r="M73" i="2"/>
  <c r="J73" i="2"/>
  <c r="G73" i="2"/>
  <c r="V72" i="2"/>
  <c r="S72" i="2"/>
  <c r="P72" i="2"/>
  <c r="M72" i="2"/>
  <c r="J72" i="2"/>
  <c r="G72" i="2"/>
  <c r="T71" i="2"/>
  <c r="Q71" i="2"/>
  <c r="N71" i="2"/>
  <c r="K71" i="2"/>
  <c r="H71" i="2"/>
  <c r="E71" i="2"/>
  <c r="P70" i="2"/>
  <c r="X70" i="2" s="1"/>
  <c r="M70" i="2"/>
  <c r="G70" i="2"/>
  <c r="V69" i="2"/>
  <c r="S69" i="2"/>
  <c r="O69" i="2"/>
  <c r="M69" i="2"/>
  <c r="J69" i="2"/>
  <c r="G69" i="2"/>
  <c r="V68" i="2"/>
  <c r="S68" i="2"/>
  <c r="P68" i="2"/>
  <c r="M68" i="2"/>
  <c r="J68" i="2"/>
  <c r="G68" i="2"/>
  <c r="V67" i="2"/>
  <c r="S67" i="2"/>
  <c r="P67" i="2"/>
  <c r="M67" i="2"/>
  <c r="J67" i="2"/>
  <c r="G67" i="2"/>
  <c r="V66" i="2"/>
  <c r="S66" i="2"/>
  <c r="P66" i="2"/>
  <c r="M66" i="2"/>
  <c r="G66" i="2"/>
  <c r="V65" i="2"/>
  <c r="S65" i="2"/>
  <c r="P65" i="2"/>
  <c r="M65" i="2"/>
  <c r="J65" i="2"/>
  <c r="G65" i="2"/>
  <c r="T64" i="2"/>
  <c r="Q64" i="2"/>
  <c r="N64" i="2"/>
  <c r="K64" i="2"/>
  <c r="H64" i="2"/>
  <c r="E64" i="2"/>
  <c r="V61" i="2"/>
  <c r="S61" i="2"/>
  <c r="P61" i="2"/>
  <c r="M61" i="2"/>
  <c r="V60" i="2"/>
  <c r="V59" i="2" s="1"/>
  <c r="S60" i="2"/>
  <c r="P60" i="2"/>
  <c r="M60" i="2"/>
  <c r="T59" i="2"/>
  <c r="Q59" i="2"/>
  <c r="P59" i="2"/>
  <c r="N59" i="2"/>
  <c r="K59" i="2"/>
  <c r="V58" i="2"/>
  <c r="S58" i="2"/>
  <c r="P58" i="2"/>
  <c r="M58" i="2"/>
  <c r="J58" i="2"/>
  <c r="G58" i="2"/>
  <c r="V57" i="2"/>
  <c r="S57" i="2"/>
  <c r="P57" i="2"/>
  <c r="M57" i="2"/>
  <c r="J57" i="2"/>
  <c r="G57" i="2"/>
  <c r="V56" i="2"/>
  <c r="S56" i="2"/>
  <c r="P56" i="2"/>
  <c r="M56" i="2"/>
  <c r="J56" i="2"/>
  <c r="G56" i="2"/>
  <c r="T55" i="2"/>
  <c r="Q55" i="2"/>
  <c r="N55" i="2"/>
  <c r="K55" i="2"/>
  <c r="H55" i="2"/>
  <c r="H62" i="2" s="1"/>
  <c r="E55" i="2"/>
  <c r="E62" i="2" s="1"/>
  <c r="V52" i="2"/>
  <c r="S52" i="2"/>
  <c r="P52" i="2"/>
  <c r="M52" i="2"/>
  <c r="J52" i="2"/>
  <c r="G52" i="2"/>
  <c r="V51" i="2"/>
  <c r="S51" i="2"/>
  <c r="P51" i="2"/>
  <c r="M51" i="2"/>
  <c r="J51" i="2"/>
  <c r="G51" i="2"/>
  <c r="V50" i="2"/>
  <c r="V49" i="2" s="1"/>
  <c r="S50" i="2"/>
  <c r="P50" i="2"/>
  <c r="M50" i="2"/>
  <c r="J50" i="2"/>
  <c r="G50" i="2"/>
  <c r="T49" i="2"/>
  <c r="Q49" i="2"/>
  <c r="N49" i="2"/>
  <c r="K49" i="2"/>
  <c r="H49" i="2"/>
  <c r="E49" i="2"/>
  <c r="V48" i="2"/>
  <c r="S48" i="2"/>
  <c r="P48" i="2"/>
  <c r="M48" i="2"/>
  <c r="J48" i="2"/>
  <c r="G48" i="2"/>
  <c r="V47" i="2"/>
  <c r="S47" i="2"/>
  <c r="P47" i="2"/>
  <c r="M47" i="2"/>
  <c r="J47" i="2"/>
  <c r="G47" i="2"/>
  <c r="W47" i="2" s="1"/>
  <c r="V46" i="2"/>
  <c r="S46" i="2"/>
  <c r="P46" i="2"/>
  <c r="M46" i="2"/>
  <c r="J46" i="2"/>
  <c r="G46" i="2"/>
  <c r="T45" i="2"/>
  <c r="Q45" i="2"/>
  <c r="N45" i="2"/>
  <c r="K45" i="2"/>
  <c r="H45" i="2"/>
  <c r="E45" i="2"/>
  <c r="V44" i="2"/>
  <c r="S44" i="2"/>
  <c r="P44" i="2"/>
  <c r="M44" i="2"/>
  <c r="J44" i="2"/>
  <c r="G44" i="2"/>
  <c r="V43" i="2"/>
  <c r="S43" i="2"/>
  <c r="P43" i="2"/>
  <c r="M43" i="2"/>
  <c r="J43" i="2"/>
  <c r="G43" i="2"/>
  <c r="W43" i="2" s="1"/>
  <c r="V42" i="2"/>
  <c r="S42" i="2"/>
  <c r="P42" i="2"/>
  <c r="M42" i="2"/>
  <c r="J42" i="2"/>
  <c r="G42" i="2"/>
  <c r="T41" i="2"/>
  <c r="Q41" i="2"/>
  <c r="N41" i="2"/>
  <c r="K41" i="2"/>
  <c r="H41" i="2"/>
  <c r="E41" i="2"/>
  <c r="V38" i="2"/>
  <c r="S38" i="2"/>
  <c r="P38" i="2"/>
  <c r="M38" i="2"/>
  <c r="J38" i="2"/>
  <c r="G38" i="2"/>
  <c r="V37" i="2"/>
  <c r="S37" i="2"/>
  <c r="P37" i="2"/>
  <c r="M37" i="2"/>
  <c r="J37" i="2"/>
  <c r="G37" i="2"/>
  <c r="V36" i="2"/>
  <c r="S36" i="2"/>
  <c r="P36" i="2"/>
  <c r="M36" i="2"/>
  <c r="J36" i="2"/>
  <c r="G36" i="2"/>
  <c r="T35" i="2"/>
  <c r="Q35" i="2"/>
  <c r="N35" i="2"/>
  <c r="K35" i="2"/>
  <c r="H35" i="2"/>
  <c r="E35" i="2"/>
  <c r="P30" i="2"/>
  <c r="M30" i="2"/>
  <c r="J30" i="2"/>
  <c r="G30" i="2"/>
  <c r="P29" i="2"/>
  <c r="M29" i="2"/>
  <c r="J29" i="2"/>
  <c r="G29" i="2"/>
  <c r="P28" i="2"/>
  <c r="M28" i="2"/>
  <c r="J28" i="2"/>
  <c r="X28" i="2" s="1"/>
  <c r="G28" i="2"/>
  <c r="W28" i="2" s="1"/>
  <c r="P27" i="2"/>
  <c r="M27" i="2"/>
  <c r="J27" i="2"/>
  <c r="G27" i="2"/>
  <c r="P26" i="2"/>
  <c r="M26" i="2"/>
  <c r="J26" i="2"/>
  <c r="G26" i="2"/>
  <c r="W26" i="2" s="1"/>
  <c r="P25" i="2"/>
  <c r="M25" i="2"/>
  <c r="J25" i="2"/>
  <c r="G25" i="2"/>
  <c r="W25" i="2" s="1"/>
  <c r="V24" i="2"/>
  <c r="S24" i="2"/>
  <c r="P24" i="2"/>
  <c r="M24" i="2"/>
  <c r="J24" i="2"/>
  <c r="G24" i="2"/>
  <c r="V23" i="2"/>
  <c r="S23" i="2"/>
  <c r="P23" i="2"/>
  <c r="M23" i="2"/>
  <c r="J23" i="2"/>
  <c r="X23" i="2" s="1"/>
  <c r="G23" i="2"/>
  <c r="V22" i="2"/>
  <c r="S22" i="2"/>
  <c r="P22" i="2"/>
  <c r="M22" i="2"/>
  <c r="J22" i="2"/>
  <c r="G22" i="2"/>
  <c r="T21" i="2"/>
  <c r="Q21" i="2"/>
  <c r="N21" i="2"/>
  <c r="K21" i="2"/>
  <c r="H21" i="2"/>
  <c r="E21" i="2"/>
  <c r="V20" i="2"/>
  <c r="S20" i="2"/>
  <c r="P20" i="2"/>
  <c r="M20" i="2"/>
  <c r="J20" i="2"/>
  <c r="G20" i="2"/>
  <c r="V19" i="2"/>
  <c r="S19" i="2"/>
  <c r="P19" i="2"/>
  <c r="M19" i="2"/>
  <c r="J19" i="2"/>
  <c r="X19" i="2" s="1"/>
  <c r="G19" i="2"/>
  <c r="W19" i="2" s="1"/>
  <c r="V18" i="2"/>
  <c r="S18" i="2"/>
  <c r="P18" i="2"/>
  <c r="M18" i="2"/>
  <c r="J18" i="2"/>
  <c r="G18" i="2"/>
  <c r="T17" i="2"/>
  <c r="Q17" i="2"/>
  <c r="N17" i="2"/>
  <c r="K17" i="2"/>
  <c r="H17" i="2"/>
  <c r="E17" i="2"/>
  <c r="V16" i="2"/>
  <c r="S16" i="2"/>
  <c r="P16" i="2"/>
  <c r="M16" i="2"/>
  <c r="J16" i="2"/>
  <c r="G16" i="2"/>
  <c r="V15" i="2"/>
  <c r="S15" i="2"/>
  <c r="P15" i="2"/>
  <c r="M15" i="2"/>
  <c r="J15" i="2"/>
  <c r="G15" i="2"/>
  <c r="W15" i="2" s="1"/>
  <c r="V14" i="2"/>
  <c r="S14" i="2"/>
  <c r="P14" i="2"/>
  <c r="M14" i="2"/>
  <c r="M13" i="2" s="1"/>
  <c r="K32" i="2" s="1"/>
  <c r="J14" i="2"/>
  <c r="G14" i="2"/>
  <c r="T13" i="2"/>
  <c r="Q13" i="2"/>
  <c r="N13" i="2"/>
  <c r="K13" i="2"/>
  <c r="H13" i="2"/>
  <c r="E13" i="2"/>
  <c r="V64" i="2" l="1"/>
  <c r="S17" i="2"/>
  <c r="Q33" i="2" s="1"/>
  <c r="S33" i="2" s="1"/>
  <c r="W20" i="2"/>
  <c r="Y20" i="2" s="1"/>
  <c r="Z20" i="2" s="1"/>
  <c r="S35" i="2"/>
  <c r="W42" i="2"/>
  <c r="S45" i="2"/>
  <c r="W48" i="2"/>
  <c r="P49" i="2"/>
  <c r="W60" i="2"/>
  <c r="W61" i="2"/>
  <c r="X211" i="2"/>
  <c r="W214" i="2"/>
  <c r="Y214" i="2" s="1"/>
  <c r="Z214" i="2" s="1"/>
  <c r="W223" i="2"/>
  <c r="J64" i="2"/>
  <c r="X29" i="2"/>
  <c r="S49" i="2"/>
  <c r="X90" i="2"/>
  <c r="X94" i="2"/>
  <c r="W104" i="2"/>
  <c r="W110" i="2"/>
  <c r="G115" i="2"/>
  <c r="W136" i="2"/>
  <c r="W167" i="2"/>
  <c r="X176" i="2"/>
  <c r="V184" i="2"/>
  <c r="G192" i="2"/>
  <c r="X228" i="2"/>
  <c r="W70" i="2"/>
  <c r="Y70" i="2" s="1"/>
  <c r="W196" i="2"/>
  <c r="W210" i="2"/>
  <c r="W69" i="2"/>
  <c r="X143" i="2"/>
  <c r="M184" i="2"/>
  <c r="X186" i="2"/>
  <c r="W213" i="2"/>
  <c r="Y213" i="2" s="1"/>
  <c r="Z213" i="2" s="1"/>
  <c r="X117" i="2"/>
  <c r="X118" i="2"/>
  <c r="X138" i="2"/>
  <c r="X140" i="2"/>
  <c r="X142" i="2"/>
  <c r="Y142" i="2" s="1"/>
  <c r="Z142" i="2" s="1"/>
  <c r="S156" i="2"/>
  <c r="W152" i="2"/>
  <c r="Y169" i="2"/>
  <c r="W222" i="2"/>
  <c r="Y222" i="2" s="1"/>
  <c r="Z222" i="2" s="1"/>
  <c r="W224" i="2"/>
  <c r="V21" i="2"/>
  <c r="T34" i="2" s="1"/>
  <c r="V34" i="2" s="1"/>
  <c r="H99" i="2"/>
  <c r="S95" i="2"/>
  <c r="X124" i="2"/>
  <c r="X161" i="2"/>
  <c r="X165" i="2"/>
  <c r="X167" i="2"/>
  <c r="Y167" i="2" s="1"/>
  <c r="Z167" i="2" s="1"/>
  <c r="X224" i="2"/>
  <c r="X226" i="2"/>
  <c r="W132" i="2"/>
  <c r="Y170" i="2"/>
  <c r="Z170" i="2" s="1"/>
  <c r="X213" i="2"/>
  <c r="Y28" i="2"/>
  <c r="Z28" i="2" s="1"/>
  <c r="X61" i="2"/>
  <c r="Y61" i="2" s="1"/>
  <c r="Z61" i="2" s="1"/>
  <c r="X125" i="2"/>
  <c r="X130" i="2"/>
  <c r="X144" i="2"/>
  <c r="X147" i="2"/>
  <c r="N53" i="2"/>
  <c r="X14" i="2"/>
  <c r="X37" i="2"/>
  <c r="V87" i="2"/>
  <c r="V109" i="2"/>
  <c r="W177" i="2"/>
  <c r="S184" i="2"/>
  <c r="W211" i="2"/>
  <c r="X230" i="2"/>
  <c r="S105" i="2"/>
  <c r="X210" i="2"/>
  <c r="W230" i="2"/>
  <c r="X36" i="2"/>
  <c r="Y36" i="2" s="1"/>
  <c r="Z36" i="2" s="1"/>
  <c r="W56" i="2"/>
  <c r="X112" i="2"/>
  <c r="W183" i="2"/>
  <c r="W209" i="2"/>
  <c r="W29" i="2"/>
  <c r="X60" i="2"/>
  <c r="X68" i="2"/>
  <c r="X103" i="2"/>
  <c r="V115" i="2"/>
  <c r="X134" i="2"/>
  <c r="X159" i="2"/>
  <c r="X193" i="2"/>
  <c r="Y193" i="2" s="1"/>
  <c r="Z193" i="2" s="1"/>
  <c r="X218" i="2"/>
  <c r="W231" i="2"/>
  <c r="M55" i="2"/>
  <c r="W121" i="2"/>
  <c r="W142" i="2"/>
  <c r="W166" i="2"/>
  <c r="S180" i="2"/>
  <c r="W204" i="2"/>
  <c r="W23" i="2"/>
  <c r="Y23" i="2" s="1"/>
  <c r="Z23" i="2" s="1"/>
  <c r="X27" i="2"/>
  <c r="Y27" i="2" s="1"/>
  <c r="Z27" i="2" s="1"/>
  <c r="M59" i="2"/>
  <c r="M62" i="2" s="1"/>
  <c r="X69" i="2"/>
  <c r="Y69" i="2" s="1"/>
  <c r="X177" i="2"/>
  <c r="X220" i="2"/>
  <c r="W229" i="2"/>
  <c r="P35" i="2"/>
  <c r="X47" i="2"/>
  <c r="Y47" i="2" s="1"/>
  <c r="Z47" i="2" s="1"/>
  <c r="W67" i="2"/>
  <c r="X72" i="2"/>
  <c r="V95" i="2"/>
  <c r="X110" i="2"/>
  <c r="X141" i="2"/>
  <c r="W151" i="2"/>
  <c r="W155" i="2"/>
  <c r="Y155" i="2" s="1"/>
  <c r="Z155" i="2" s="1"/>
  <c r="X171" i="2"/>
  <c r="X198" i="2"/>
  <c r="Y198" i="2" s="1"/>
  <c r="Z198" i="2" s="1"/>
  <c r="X201" i="2"/>
  <c r="K232" i="2"/>
  <c r="M35" i="2"/>
  <c r="M41" i="2"/>
  <c r="S109" i="2"/>
  <c r="X116" i="2"/>
  <c r="X115" i="2" s="1"/>
  <c r="J119" i="2"/>
  <c r="W130" i="2"/>
  <c r="Y130" i="2" s="1"/>
  <c r="Z130" i="2" s="1"/>
  <c r="X139" i="2"/>
  <c r="Y139" i="2" s="1"/>
  <c r="Z139" i="2" s="1"/>
  <c r="X145" i="2"/>
  <c r="X155" i="2"/>
  <c r="P192" i="2"/>
  <c r="N232" i="2"/>
  <c r="X229" i="2"/>
  <c r="W27" i="2"/>
  <c r="X48" i="2"/>
  <c r="M119" i="2"/>
  <c r="X137" i="2"/>
  <c r="Q232" i="2"/>
  <c r="W228" i="2"/>
  <c r="V180" i="2"/>
  <c r="J13" i="2"/>
  <c r="H32" i="2" s="1"/>
  <c r="H31" i="2" s="1"/>
  <c r="S41" i="2"/>
  <c r="M45" i="2"/>
  <c r="X89" i="2"/>
  <c r="W97" i="2"/>
  <c r="V105" i="2"/>
  <c r="X175" i="2"/>
  <c r="W189" i="2"/>
  <c r="W199" i="2"/>
  <c r="W221" i="2"/>
  <c r="P13" i="2"/>
  <c r="N32" i="2" s="1"/>
  <c r="P32" i="2" s="1"/>
  <c r="V41" i="2"/>
  <c r="Y60" i="2"/>
  <c r="Z60" i="2" s="1"/>
  <c r="V71" i="2"/>
  <c r="W92" i="2"/>
  <c r="W116" i="2"/>
  <c r="P123" i="2"/>
  <c r="W133" i="2"/>
  <c r="P55" i="2"/>
  <c r="P91" i="2"/>
  <c r="M95" i="2"/>
  <c r="V119" i="2"/>
  <c r="K127" i="2"/>
  <c r="S123" i="2"/>
  <c r="W126" i="2"/>
  <c r="Y126" i="2" s="1"/>
  <c r="Z126" i="2" s="1"/>
  <c r="X132" i="2"/>
  <c r="X153" i="2"/>
  <c r="X178" i="2"/>
  <c r="X183" i="2"/>
  <c r="S197" i="2"/>
  <c r="P202" i="2"/>
  <c r="X207" i="2"/>
  <c r="X227" i="2"/>
  <c r="X56" i="2"/>
  <c r="K62" i="2"/>
  <c r="X102" i="2"/>
  <c r="X104" i="2"/>
  <c r="Y104" i="2" s="1"/>
  <c r="Z104" i="2" s="1"/>
  <c r="X126" i="2"/>
  <c r="W227" i="2"/>
  <c r="W212" i="2"/>
  <c r="Z169" i="2"/>
  <c r="S13" i="2"/>
  <c r="W18" i="2"/>
  <c r="X20" i="2"/>
  <c r="J35" i="2"/>
  <c r="W37" i="2"/>
  <c r="T99" i="2"/>
  <c r="W108" i="2"/>
  <c r="J148" i="2"/>
  <c r="W131" i="2"/>
  <c r="W195" i="2"/>
  <c r="Y211" i="2"/>
  <c r="Z211" i="2" s="1"/>
  <c r="W215" i="2"/>
  <c r="P17" i="2"/>
  <c r="N33" i="2" s="1"/>
  <c r="P33" i="2" s="1"/>
  <c r="W22" i="2"/>
  <c r="P45" i="2"/>
  <c r="W50" i="2"/>
  <c r="M64" i="2"/>
  <c r="G71" i="2"/>
  <c r="X76" i="2"/>
  <c r="N99" i="2"/>
  <c r="T127" i="2"/>
  <c r="W143" i="2"/>
  <c r="V156" i="2"/>
  <c r="X154" i="2"/>
  <c r="M173" i="2"/>
  <c r="X163" i="2"/>
  <c r="Y163" i="2" s="1"/>
  <c r="Z163" i="2" s="1"/>
  <c r="X182" i="2"/>
  <c r="X215" i="2"/>
  <c r="P206" i="2"/>
  <c r="X15" i="2"/>
  <c r="Y15" i="2" s="1"/>
  <c r="Z15" i="2" s="1"/>
  <c r="X22" i="2"/>
  <c r="X26" i="2"/>
  <c r="Y26" i="2" s="1"/>
  <c r="Z26" i="2" s="1"/>
  <c r="G45" i="2"/>
  <c r="J49" i="2"/>
  <c r="W57" i="2"/>
  <c r="X59" i="2"/>
  <c r="X66" i="2"/>
  <c r="W90" i="2"/>
  <c r="Y90" i="2" s="1"/>
  <c r="Z90" i="2" s="1"/>
  <c r="W103" i="2"/>
  <c r="S101" i="2"/>
  <c r="W106" i="2"/>
  <c r="J115" i="2"/>
  <c r="X122" i="2"/>
  <c r="P148" i="2"/>
  <c r="X133" i="2"/>
  <c r="W135" i="2"/>
  <c r="W176" i="2"/>
  <c r="X187" i="2"/>
  <c r="X189" i="2"/>
  <c r="G197" i="2"/>
  <c r="V197" i="2"/>
  <c r="H232" i="2"/>
  <c r="W208" i="2"/>
  <c r="G17" i="2"/>
  <c r="E33" i="2" s="1"/>
  <c r="G33" i="2" s="1"/>
  <c r="V17" i="2"/>
  <c r="T33" i="2" s="1"/>
  <c r="V33" i="2" s="1"/>
  <c r="W24" i="2"/>
  <c r="W83" i="2"/>
  <c r="X106" i="2"/>
  <c r="X108" i="2"/>
  <c r="X120" i="2"/>
  <c r="X131" i="2"/>
  <c r="X135" i="2"/>
  <c r="W141" i="2"/>
  <c r="X151" i="2"/>
  <c r="W161" i="2"/>
  <c r="W178" i="2"/>
  <c r="W187" i="2"/>
  <c r="S192" i="2"/>
  <c r="X195" i="2"/>
  <c r="X208" i="2"/>
  <c r="W220" i="2"/>
  <c r="Y220" i="2" s="1"/>
  <c r="Z220" i="2" s="1"/>
  <c r="Y19" i="2"/>
  <c r="Z19" i="2" s="1"/>
  <c r="J45" i="2"/>
  <c r="W77" i="2"/>
  <c r="X86" i="2"/>
  <c r="Y86" i="2" s="1"/>
  <c r="Z86" i="2" s="1"/>
  <c r="M123" i="2"/>
  <c r="V148" i="2"/>
  <c r="Y146" i="2"/>
  <c r="Z146" i="2" s="1"/>
  <c r="J197" i="2"/>
  <c r="W226" i="2"/>
  <c r="G13" i="2"/>
  <c r="E32" i="2" s="1"/>
  <c r="V13" i="2"/>
  <c r="T32" i="2" s="1"/>
  <c r="P21" i="2"/>
  <c r="N34" i="2" s="1"/>
  <c r="P34" i="2" s="1"/>
  <c r="J41" i="2"/>
  <c r="Q62" i="2"/>
  <c r="X67" i="2"/>
  <c r="S87" i="2"/>
  <c r="M91" i="2"/>
  <c r="J95" i="2"/>
  <c r="P109" i="2"/>
  <c r="M109" i="2"/>
  <c r="W144" i="2"/>
  <c r="J173" i="2"/>
  <c r="W160" i="2"/>
  <c r="W162" i="2"/>
  <c r="W186" i="2"/>
  <c r="Y186" i="2" s="1"/>
  <c r="X199" i="2"/>
  <c r="W201" i="2"/>
  <c r="T232" i="2"/>
  <c r="X212" i="2"/>
  <c r="Y212" i="2" s="1"/>
  <c r="Z212" i="2" s="1"/>
  <c r="S21" i="2"/>
  <c r="Q34" i="2" s="1"/>
  <c r="S34" i="2" s="1"/>
  <c r="H53" i="2"/>
  <c r="W51" i="2"/>
  <c r="X52" i="2"/>
  <c r="T62" i="2"/>
  <c r="W81" i="2"/>
  <c r="S91" i="2"/>
  <c r="J105" i="2"/>
  <c r="G109" i="2"/>
  <c r="X121" i="2"/>
  <c r="V123" i="2"/>
  <c r="V127" i="2" s="1"/>
  <c r="W171" i="2"/>
  <c r="Y171" i="2" s="1"/>
  <c r="Z171" i="2" s="1"/>
  <c r="J190" i="2"/>
  <c r="W188" i="2"/>
  <c r="P197" i="2"/>
  <c r="X203" i="2"/>
  <c r="W205" i="2"/>
  <c r="V206" i="2"/>
  <c r="W16" i="2"/>
  <c r="K53" i="2"/>
  <c r="W58" i="2"/>
  <c r="V91" i="2"/>
  <c r="G101" i="2"/>
  <c r="H127" i="2"/>
  <c r="W137" i="2"/>
  <c r="W165" i="2"/>
  <c r="W168" i="2"/>
  <c r="G180" i="2"/>
  <c r="M190" i="2"/>
  <c r="M192" i="2"/>
  <c r="X205" i="2"/>
  <c r="Y205" i="2" s="1"/>
  <c r="Z205" i="2" s="1"/>
  <c r="J21" i="2"/>
  <c r="H34" i="2" s="1"/>
  <c r="J34" i="2" s="1"/>
  <c r="G41" i="2"/>
  <c r="M49" i="2"/>
  <c r="J109" i="2"/>
  <c r="P119" i="2"/>
  <c r="J156" i="2"/>
  <c r="S173" i="2"/>
  <c r="X25" i="2"/>
  <c r="Y25" i="2" s="1"/>
  <c r="Z25" i="2" s="1"/>
  <c r="Q53" i="2"/>
  <c r="G55" i="2"/>
  <c r="G62" i="2" s="1"/>
  <c r="X98" i="2"/>
  <c r="N127" i="2"/>
  <c r="X136" i="2"/>
  <c r="Y136" i="2" s="1"/>
  <c r="Z136" i="2" s="1"/>
  <c r="W138" i="2"/>
  <c r="W140" i="2"/>
  <c r="X152" i="2"/>
  <c r="W154" i="2"/>
  <c r="M180" i="2"/>
  <c r="W179" i="2"/>
  <c r="W182" i="2"/>
  <c r="S190" i="2"/>
  <c r="P190" i="2"/>
  <c r="X209" i="2"/>
  <c r="W217" i="2"/>
  <c r="W225" i="2"/>
  <c r="Y225" i="2" s="1"/>
  <c r="Z225" i="2" s="1"/>
  <c r="W30" i="2"/>
  <c r="P41" i="2"/>
  <c r="S55" i="2"/>
  <c r="G91" i="2"/>
  <c r="M101" i="2"/>
  <c r="X16" i="2"/>
  <c r="J17" i="2"/>
  <c r="H33" i="2" s="1"/>
  <c r="J33" i="2" s="1"/>
  <c r="M21" i="2"/>
  <c r="K34" i="2" s="1"/>
  <c r="M34" i="2" s="1"/>
  <c r="X30" i="2"/>
  <c r="W36" i="2"/>
  <c r="V35" i="2"/>
  <c r="X42" i="2"/>
  <c r="Y42" i="2" s="1"/>
  <c r="Z42" i="2" s="1"/>
  <c r="X46" i="2"/>
  <c r="V55" i="2"/>
  <c r="V62" i="2" s="1"/>
  <c r="S59" i="2"/>
  <c r="W68" i="2"/>
  <c r="Y68" i="2" s="1"/>
  <c r="X73" i="2"/>
  <c r="W79" i="2"/>
  <c r="W85" i="2"/>
  <c r="X93" i="2"/>
  <c r="X96" i="2"/>
  <c r="P101" i="2"/>
  <c r="X111" i="2"/>
  <c r="X109" i="2" s="1"/>
  <c r="P115" i="2"/>
  <c r="M115" i="2"/>
  <c r="W145" i="2"/>
  <c r="X150" i="2"/>
  <c r="W159" i="2"/>
  <c r="Y159" i="2" s="1"/>
  <c r="Z159" i="2" s="1"/>
  <c r="X160" i="2"/>
  <c r="W193" i="2"/>
  <c r="V192" i="2"/>
  <c r="M197" i="2"/>
  <c r="X200" i="2"/>
  <c r="V202" i="2"/>
  <c r="S206" i="2"/>
  <c r="X217" i="2"/>
  <c r="X221" i="2"/>
  <c r="X223" i="2"/>
  <c r="Y223" i="2" s="1"/>
  <c r="Z223" i="2" s="1"/>
  <c r="Q32" i="2"/>
  <c r="X44" i="2"/>
  <c r="W74" i="2"/>
  <c r="M32" i="2"/>
  <c r="X18" i="2"/>
  <c r="X17" i="2" s="1"/>
  <c r="G21" i="2"/>
  <c r="E34" i="2" s="1"/>
  <c r="G34" i="2" s="1"/>
  <c r="X38" i="2"/>
  <c r="P62" i="2"/>
  <c r="M71" i="2"/>
  <c r="W76" i="2"/>
  <c r="Y76" i="2" s="1"/>
  <c r="Z76" i="2" s="1"/>
  <c r="X78" i="2"/>
  <c r="X80" i="2"/>
  <c r="X82" i="2"/>
  <c r="X84" i="2"/>
  <c r="W203" i="2"/>
  <c r="G202" i="2"/>
  <c r="P64" i="2"/>
  <c r="W14" i="2"/>
  <c r="X50" i="2"/>
  <c r="X57" i="2"/>
  <c r="G64" i="2"/>
  <c r="P71" i="2"/>
  <c r="W94" i="2"/>
  <c r="Y94" i="2" s="1"/>
  <c r="Z94" i="2" s="1"/>
  <c r="K99" i="2"/>
  <c r="S115" i="2"/>
  <c r="W117" i="2"/>
  <c r="G35" i="2"/>
  <c r="X43" i="2"/>
  <c r="Y43" i="2" s="1"/>
  <c r="Z43" i="2" s="1"/>
  <c r="V45" i="2"/>
  <c r="V53" i="2" s="1"/>
  <c r="T53" i="2"/>
  <c r="W59" i="2"/>
  <c r="X65" i="2"/>
  <c r="W72" i="2"/>
  <c r="W75" i="2"/>
  <c r="Y75" i="2" s="1"/>
  <c r="Z75" i="2" s="1"/>
  <c r="Y77" i="2"/>
  <c r="Z77" i="2" s="1"/>
  <c r="X79" i="2"/>
  <c r="X81" i="2"/>
  <c r="X83" i="2"/>
  <c r="Y83" i="2" s="1"/>
  <c r="Z83" i="2" s="1"/>
  <c r="X85" i="2"/>
  <c r="W88" i="2"/>
  <c r="Q99" i="2"/>
  <c r="S71" i="2"/>
  <c r="X24" i="2"/>
  <c r="Y37" i="2"/>
  <c r="Z37" i="2" s="1"/>
  <c r="W44" i="2"/>
  <c r="W41" i="2" s="1"/>
  <c r="W46" i="2"/>
  <c r="E53" i="2"/>
  <c r="W52" i="2"/>
  <c r="Y52" i="2" s="1"/>
  <c r="Z52" i="2" s="1"/>
  <c r="G49" i="2"/>
  <c r="W65" i="2"/>
  <c r="W73" i="2"/>
  <c r="J87" i="2"/>
  <c r="X88" i="2"/>
  <c r="W98" i="2"/>
  <c r="J32" i="2"/>
  <c r="G87" i="2"/>
  <c r="W89" i="2"/>
  <c r="Y89" i="2" s="1"/>
  <c r="Z89" i="2" s="1"/>
  <c r="M17" i="2"/>
  <c r="Y56" i="2"/>
  <c r="Z56" i="2" s="1"/>
  <c r="W96" i="2"/>
  <c r="G95" i="2"/>
  <c r="W38" i="2"/>
  <c r="Y38" i="2" s="1"/>
  <c r="Z38" i="2" s="1"/>
  <c r="X51" i="2"/>
  <c r="X58" i="2"/>
  <c r="J55" i="2"/>
  <c r="J62" i="2" s="1"/>
  <c r="N62" i="2"/>
  <c r="S64" i="2"/>
  <c r="J71" i="2"/>
  <c r="X74" i="2"/>
  <c r="W78" i="2"/>
  <c r="W80" i="2"/>
  <c r="W82" i="2"/>
  <c r="W84" i="2"/>
  <c r="E99" i="2"/>
  <c r="X92" i="2"/>
  <c r="X97" i="2"/>
  <c r="J101" i="2"/>
  <c r="J113" i="2" s="1"/>
  <c r="V101" i="2"/>
  <c r="M105" i="2"/>
  <c r="W120" i="2"/>
  <c r="G119" i="2"/>
  <c r="W150" i="2"/>
  <c r="G156" i="2"/>
  <c r="G173" i="2"/>
  <c r="Y177" i="2"/>
  <c r="Z177" i="2" s="1"/>
  <c r="J184" i="2"/>
  <c r="W66" i="2"/>
  <c r="W93" i="2"/>
  <c r="Y93" i="2" s="1"/>
  <c r="Z93" i="2" s="1"/>
  <c r="W112" i="2"/>
  <c r="Y112" i="2" s="1"/>
  <c r="Z112" i="2" s="1"/>
  <c r="W118" i="2"/>
  <c r="Y118" i="2" s="1"/>
  <c r="Z118" i="2" s="1"/>
  <c r="Q127" i="2"/>
  <c r="X123" i="2"/>
  <c r="P180" i="2"/>
  <c r="J180" i="2"/>
  <c r="X194" i="2"/>
  <c r="G206" i="2"/>
  <c r="P105" i="2"/>
  <c r="X107" i="2"/>
  <c r="X105" i="2" s="1"/>
  <c r="Y110" i="2"/>
  <c r="Z110" i="2" s="1"/>
  <c r="W122" i="2"/>
  <c r="S119" i="2"/>
  <c r="G123" i="2"/>
  <c r="W125" i="2"/>
  <c r="Y125" i="2" s="1"/>
  <c r="Z125" i="2" s="1"/>
  <c r="G148" i="2"/>
  <c r="M156" i="2"/>
  <c r="X179" i="2"/>
  <c r="V190" i="2"/>
  <c r="W102" i="2"/>
  <c r="W124" i="2"/>
  <c r="W134" i="2"/>
  <c r="Y134" i="2" s="1"/>
  <c r="Z134" i="2" s="1"/>
  <c r="W147" i="2"/>
  <c r="P173" i="2"/>
  <c r="X162" i="2"/>
  <c r="X188" i="2"/>
  <c r="W200" i="2"/>
  <c r="S202" i="2"/>
  <c r="E232" i="2"/>
  <c r="W207" i="2"/>
  <c r="M206" i="2"/>
  <c r="W216" i="2"/>
  <c r="Y216" i="2" s="1"/>
  <c r="Z216" i="2" s="1"/>
  <c r="J91" i="2"/>
  <c r="G105" i="2"/>
  <c r="W107" i="2"/>
  <c r="E127" i="2"/>
  <c r="M148" i="2"/>
  <c r="Y132" i="2"/>
  <c r="Z132" i="2" s="1"/>
  <c r="W153" i="2"/>
  <c r="Y153" i="2" s="1"/>
  <c r="Z153" i="2" s="1"/>
  <c r="X219" i="2"/>
  <c r="J206" i="2"/>
  <c r="Y231" i="2"/>
  <c r="Z231" i="2" s="1"/>
  <c r="W111" i="2"/>
  <c r="Y111" i="2" s="1"/>
  <c r="Z111" i="2" s="1"/>
  <c r="V173" i="2"/>
  <c r="X164" i="2"/>
  <c r="Y164" i="2" s="1"/>
  <c r="Z164" i="2" s="1"/>
  <c r="X166" i="2"/>
  <c r="Y166" i="2" s="1"/>
  <c r="Z166" i="2" s="1"/>
  <c r="X168" i="2"/>
  <c r="X196" i="2"/>
  <c r="Y196" i="2" s="1"/>
  <c r="Z196" i="2" s="1"/>
  <c r="J192" i="2"/>
  <c r="W218" i="2"/>
  <c r="W129" i="2"/>
  <c r="S148" i="2"/>
  <c r="Y152" i="2"/>
  <c r="Z152" i="2" s="1"/>
  <c r="J123" i="2"/>
  <c r="J127" i="2" s="1"/>
  <c r="W175" i="2"/>
  <c r="W194" i="2"/>
  <c r="X204" i="2"/>
  <c r="W158" i="2"/>
  <c r="G184" i="2"/>
  <c r="G190" i="2"/>
  <c r="X129" i="2"/>
  <c r="P156" i="2"/>
  <c r="X158" i="2"/>
  <c r="J202" i="2"/>
  <c r="Y215" i="2" l="1"/>
  <c r="Z215" i="2" s="1"/>
  <c r="Y103" i="2"/>
  <c r="Z103" i="2" s="1"/>
  <c r="Y51" i="2"/>
  <c r="Z51" i="2" s="1"/>
  <c r="X87" i="2"/>
  <c r="Y24" i="2"/>
  <c r="Z24" i="2" s="1"/>
  <c r="X35" i="2"/>
  <c r="Y182" i="2"/>
  <c r="Z182" i="2" s="1"/>
  <c r="P127" i="2"/>
  <c r="W190" i="2"/>
  <c r="Y121" i="2"/>
  <c r="Z121" i="2" s="1"/>
  <c r="Y201" i="2"/>
  <c r="Z201" i="2" s="1"/>
  <c r="Y22" i="2"/>
  <c r="Z22" i="2" s="1"/>
  <c r="W17" i="2"/>
  <c r="Y228" i="2"/>
  <c r="Z228" i="2" s="1"/>
  <c r="Y48" i="2"/>
  <c r="Z48" i="2" s="1"/>
  <c r="X34" i="2"/>
  <c r="Y210" i="2"/>
  <c r="Z210" i="2" s="1"/>
  <c r="Y154" i="2"/>
  <c r="Z154" i="2" s="1"/>
  <c r="Y187" i="2"/>
  <c r="Z187" i="2" s="1"/>
  <c r="Y176" i="2"/>
  <c r="Z176" i="2" s="1"/>
  <c r="Y116" i="2"/>
  <c r="Z116" i="2" s="1"/>
  <c r="Y230" i="2"/>
  <c r="Z230" i="2" s="1"/>
  <c r="Y168" i="2"/>
  <c r="Z168" i="2" s="1"/>
  <c r="S232" i="2"/>
  <c r="X91" i="2"/>
  <c r="N31" i="2"/>
  <c r="Y194" i="2"/>
  <c r="Z194" i="2" s="1"/>
  <c r="Y147" i="2"/>
  <c r="Z147" i="2" s="1"/>
  <c r="Y122" i="2"/>
  <c r="Z122" i="2" s="1"/>
  <c r="Y50" i="2"/>
  <c r="Z50" i="2" s="1"/>
  <c r="P53" i="2"/>
  <c r="Y209" i="2"/>
  <c r="Z209" i="2" s="1"/>
  <c r="Y140" i="2"/>
  <c r="Z140" i="2" s="1"/>
  <c r="Y137" i="2"/>
  <c r="Z137" i="2" s="1"/>
  <c r="W55" i="2"/>
  <c r="Y55" i="2" s="1"/>
  <c r="Z55" i="2" s="1"/>
  <c r="S53" i="2"/>
  <c r="Y29" i="2"/>
  <c r="Z29" i="2" s="1"/>
  <c r="S113" i="2"/>
  <c r="Y141" i="2"/>
  <c r="Z141" i="2" s="1"/>
  <c r="Y145" i="2"/>
  <c r="Z145" i="2" s="1"/>
  <c r="Y143" i="2"/>
  <c r="Z143" i="2" s="1"/>
  <c r="Y144" i="2"/>
  <c r="Z144" i="2" s="1"/>
  <c r="S62" i="2"/>
  <c r="W184" i="2"/>
  <c r="X184" i="2"/>
  <c r="V99" i="2"/>
  <c r="Y229" i="2"/>
  <c r="Z229" i="2" s="1"/>
  <c r="Y117" i="2"/>
  <c r="Z117" i="2" s="1"/>
  <c r="Y221" i="2"/>
  <c r="Z221" i="2" s="1"/>
  <c r="X45" i="2"/>
  <c r="Y226" i="2"/>
  <c r="Z226" i="2" s="1"/>
  <c r="X156" i="2"/>
  <c r="Y189" i="2"/>
  <c r="Z189" i="2" s="1"/>
  <c r="Y178" i="2"/>
  <c r="Z178" i="2" s="1"/>
  <c r="G113" i="2"/>
  <c r="Y138" i="2"/>
  <c r="Z138" i="2" s="1"/>
  <c r="Y67" i="2"/>
  <c r="Z67" i="2" s="1"/>
  <c r="X202" i="2"/>
  <c r="M232" i="2"/>
  <c r="Y79" i="2"/>
  <c r="Z79" i="2" s="1"/>
  <c r="X197" i="2"/>
  <c r="Y133" i="2"/>
  <c r="Z133" i="2" s="1"/>
  <c r="Y224" i="2"/>
  <c r="Z224" i="2" s="1"/>
  <c r="Y107" i="2"/>
  <c r="Z107" i="2" s="1"/>
  <c r="Y200" i="2"/>
  <c r="Z200" i="2" s="1"/>
  <c r="V113" i="2"/>
  <c r="X101" i="2"/>
  <c r="Y183" i="2"/>
  <c r="Z183" i="2" s="1"/>
  <c r="X13" i="2"/>
  <c r="Y135" i="2"/>
  <c r="Z135" i="2" s="1"/>
  <c r="M99" i="2"/>
  <c r="W21" i="2"/>
  <c r="X119" i="2"/>
  <c r="X127" i="2" s="1"/>
  <c r="P232" i="2"/>
  <c r="P31" i="2"/>
  <c r="P39" i="2" s="1"/>
  <c r="Y218" i="2"/>
  <c r="Z218" i="2" s="1"/>
  <c r="Y179" i="2"/>
  <c r="Z179" i="2" s="1"/>
  <c r="W115" i="2"/>
  <c r="Y115" i="2" s="1"/>
  <c r="Z115" i="2" s="1"/>
  <c r="Y227" i="2"/>
  <c r="Z227" i="2" s="1"/>
  <c r="W34" i="2"/>
  <c r="Y34" i="2" s="1"/>
  <c r="Z34" i="2" s="1"/>
  <c r="X206" i="2"/>
  <c r="Y81" i="2"/>
  <c r="Z81" i="2" s="1"/>
  <c r="Y188" i="2"/>
  <c r="Z188" i="2" s="1"/>
  <c r="G53" i="2"/>
  <c r="Y85" i="2"/>
  <c r="Z85" i="2" s="1"/>
  <c r="M113" i="2"/>
  <c r="Y162" i="2"/>
  <c r="Z162" i="2" s="1"/>
  <c r="Y161" i="2"/>
  <c r="Z161" i="2" s="1"/>
  <c r="J53" i="2"/>
  <c r="P113" i="2"/>
  <c r="Y84" i="2"/>
  <c r="Z84" i="2" s="1"/>
  <c r="P99" i="2"/>
  <c r="V232" i="2"/>
  <c r="Y151" i="2"/>
  <c r="Z151" i="2" s="1"/>
  <c r="Y199" i="2"/>
  <c r="Z199" i="2" s="1"/>
  <c r="Y82" i="2"/>
  <c r="Z82" i="2" s="1"/>
  <c r="Y58" i="2"/>
  <c r="Z58" i="2" s="1"/>
  <c r="X21" i="2"/>
  <c r="X148" i="2"/>
  <c r="X33" i="2"/>
  <c r="Y131" i="2"/>
  <c r="Z131" i="2" s="1"/>
  <c r="Y66" i="2"/>
  <c r="Z66" i="2" s="1"/>
  <c r="M53" i="2"/>
  <c r="M127" i="2"/>
  <c r="Y165" i="2"/>
  <c r="Z165" i="2" s="1"/>
  <c r="J99" i="2"/>
  <c r="W91" i="2"/>
  <c r="Y91" i="2" s="1"/>
  <c r="Z91" i="2" s="1"/>
  <c r="X180" i="2"/>
  <c r="X190" i="2"/>
  <c r="W105" i="2"/>
  <c r="Y105" i="2" s="1"/>
  <c r="Z105" i="2" s="1"/>
  <c r="Y195" i="2"/>
  <c r="Z195" i="2" s="1"/>
  <c r="X55" i="2"/>
  <c r="X62" i="2" s="1"/>
  <c r="X41" i="2"/>
  <c r="Y41" i="2" s="1"/>
  <c r="Z41" i="2" s="1"/>
  <c r="Y16" i="2"/>
  <c r="Z16" i="2" s="1"/>
  <c r="Y208" i="2"/>
  <c r="Z208" i="2" s="1"/>
  <c r="Y106" i="2"/>
  <c r="Z106" i="2" s="1"/>
  <c r="Y204" i="2"/>
  <c r="Z204" i="2" s="1"/>
  <c r="X192" i="2"/>
  <c r="Y80" i="2"/>
  <c r="Z80" i="2" s="1"/>
  <c r="G99" i="2"/>
  <c r="Y98" i="2"/>
  <c r="Z98" i="2" s="1"/>
  <c r="S127" i="2"/>
  <c r="Y30" i="2"/>
  <c r="Z30" i="2" s="1"/>
  <c r="Y57" i="2"/>
  <c r="Z57" i="2" s="1"/>
  <c r="Y160" i="2"/>
  <c r="Z160" i="2" s="1"/>
  <c r="Y108" i="2"/>
  <c r="Z108" i="2" s="1"/>
  <c r="W192" i="2"/>
  <c r="Y192" i="2" s="1"/>
  <c r="Z192" i="2" s="1"/>
  <c r="X71" i="2"/>
  <c r="Y217" i="2"/>
  <c r="Z217" i="2" s="1"/>
  <c r="X173" i="2"/>
  <c r="W197" i="2"/>
  <c r="G127" i="2"/>
  <c r="X95" i="2"/>
  <c r="Y73" i="2"/>
  <c r="Z73" i="2" s="1"/>
  <c r="S99" i="2"/>
  <c r="X64" i="2"/>
  <c r="Y18" i="2"/>
  <c r="Z18" i="2" s="1"/>
  <c r="W109" i="2"/>
  <c r="Y109" i="2" s="1"/>
  <c r="Z109" i="2" s="1"/>
  <c r="Y97" i="2"/>
  <c r="Z97" i="2" s="1"/>
  <c r="W35" i="2"/>
  <c r="Y35" i="2" s="1"/>
  <c r="Z35" i="2" s="1"/>
  <c r="Y17" i="2"/>
  <c r="Z17" i="2" s="1"/>
  <c r="Y207" i="2"/>
  <c r="W206" i="2"/>
  <c r="X113" i="2"/>
  <c r="Y219" i="2"/>
  <c r="Z219" i="2" s="1"/>
  <c r="Y150" i="2"/>
  <c r="Z150" i="2" s="1"/>
  <c r="W156" i="2"/>
  <c r="W95" i="2"/>
  <c r="Y96" i="2"/>
  <c r="Z96" i="2" s="1"/>
  <c r="W148" i="2"/>
  <c r="Y129" i="2"/>
  <c r="W71" i="2"/>
  <c r="Y72" i="2"/>
  <c r="W173" i="2"/>
  <c r="Y158" i="2"/>
  <c r="Z158" i="2" s="1"/>
  <c r="Y124" i="2"/>
  <c r="Z124" i="2" s="1"/>
  <c r="W123" i="2"/>
  <c r="G232" i="2"/>
  <c r="J31" i="2"/>
  <c r="J39" i="2" s="1"/>
  <c r="Y44" i="2"/>
  <c r="Z44" i="2" s="1"/>
  <c r="Y88" i="2"/>
  <c r="Z88" i="2" s="1"/>
  <c r="W87" i="2"/>
  <c r="W202" i="2"/>
  <c r="Y202" i="2" s="1"/>
  <c r="Z202" i="2" s="1"/>
  <c r="Y203" i="2"/>
  <c r="Z203" i="2" s="1"/>
  <c r="G32" i="2"/>
  <c r="E31" i="2"/>
  <c r="Y175" i="2"/>
  <c r="W180" i="2"/>
  <c r="Y74" i="2"/>
  <c r="Z74" i="2" s="1"/>
  <c r="Y46" i="2"/>
  <c r="Z46" i="2" s="1"/>
  <c r="W45" i="2"/>
  <c r="Y45" i="2" s="1"/>
  <c r="Z45" i="2" s="1"/>
  <c r="Y92" i="2"/>
  <c r="Z92" i="2" s="1"/>
  <c r="Y59" i="2"/>
  <c r="Z59" i="2" s="1"/>
  <c r="W49" i="2"/>
  <c r="S32" i="2"/>
  <c r="S31" i="2" s="1"/>
  <c r="S39" i="2" s="1"/>
  <c r="Q31" i="2"/>
  <c r="W13" i="2"/>
  <c r="Y14" i="2"/>
  <c r="Z14" i="2" s="1"/>
  <c r="V32" i="2"/>
  <c r="V31" i="2" s="1"/>
  <c r="V39" i="2" s="1"/>
  <c r="V233" i="2" s="1"/>
  <c r="T31" i="2"/>
  <c r="Z186" i="2"/>
  <c r="J232" i="2"/>
  <c r="Y102" i="2"/>
  <c r="Z102" i="2" s="1"/>
  <c r="W101" i="2"/>
  <c r="W119" i="2"/>
  <c r="Y119" i="2" s="1"/>
  <c r="Z119" i="2" s="1"/>
  <c r="Y120" i="2"/>
  <c r="Z120" i="2" s="1"/>
  <c r="Y184" i="2"/>
  <c r="Z184" i="2" s="1"/>
  <c r="Y78" i="2"/>
  <c r="Z78" i="2" s="1"/>
  <c r="K33" i="2"/>
  <c r="Y65" i="2"/>
  <c r="Z65" i="2" s="1"/>
  <c r="W64" i="2"/>
  <c r="X49" i="2"/>
  <c r="H30" i="1"/>
  <c r="G30" i="1"/>
  <c r="F30" i="1"/>
  <c r="E30" i="1"/>
  <c r="D30" i="1"/>
  <c r="Y156" i="2" l="1"/>
  <c r="Z156" i="2" s="1"/>
  <c r="Y197" i="2"/>
  <c r="Z197" i="2" s="1"/>
  <c r="Y190" i="2"/>
  <c r="Z190" i="2" s="1"/>
  <c r="W62" i="2"/>
  <c r="Y62" i="2" s="1"/>
  <c r="Z62" i="2" s="1"/>
  <c r="Y87" i="2"/>
  <c r="Z87" i="2" s="1"/>
  <c r="X232" i="2"/>
  <c r="Y21" i="2"/>
  <c r="Z21" i="2" s="1"/>
  <c r="X53" i="2"/>
  <c r="P233" i="2"/>
  <c r="S233" i="2"/>
  <c r="X99" i="2"/>
  <c r="Y173" i="2"/>
  <c r="Z173" i="2" s="1"/>
  <c r="Y64" i="2"/>
  <c r="Z64" i="2" s="1"/>
  <c r="J233" i="2"/>
  <c r="X32" i="2"/>
  <c r="X31" i="2" s="1"/>
  <c r="X39" i="2" s="1"/>
  <c r="Z72" i="2"/>
  <c r="Y71" i="2"/>
  <c r="Z71" i="2" s="1"/>
  <c r="Y95" i="2"/>
  <c r="Z95" i="2" s="1"/>
  <c r="W99" i="2"/>
  <c r="Y99" i="2" s="1"/>
  <c r="Z99" i="2" s="1"/>
  <c r="W32" i="2"/>
  <c r="G31" i="2"/>
  <c r="G39" i="2" s="1"/>
  <c r="G233" i="2" s="1"/>
  <c r="Z175" i="2"/>
  <c r="Y180" i="2"/>
  <c r="Z180" i="2" s="1"/>
  <c r="W113" i="2"/>
  <c r="Y113" i="2" s="1"/>
  <c r="Z113" i="2" s="1"/>
  <c r="Y101" i="2"/>
  <c r="Z101" i="2" s="1"/>
  <c r="Y13" i="2"/>
  <c r="Z13" i="2" s="1"/>
  <c r="M33" i="2"/>
  <c r="K31" i="2"/>
  <c r="Y123" i="2"/>
  <c r="Z123" i="2" s="1"/>
  <c r="W127" i="2"/>
  <c r="Y127" i="2" s="1"/>
  <c r="Z127" i="2" s="1"/>
  <c r="W232" i="2"/>
  <c r="Y232" i="2" s="1"/>
  <c r="Z232" i="2" s="1"/>
  <c r="Y148" i="2"/>
  <c r="Z148" i="2" s="1"/>
  <c r="Z129" i="2"/>
  <c r="W53" i="2"/>
  <c r="Y49" i="2"/>
  <c r="Z49" i="2" s="1"/>
  <c r="Z207" i="2"/>
  <c r="Y206" i="2"/>
  <c r="Z206" i="2" s="1"/>
  <c r="C30" i="1"/>
  <c r="L30" i="1"/>
  <c r="I29" i="1"/>
  <c r="Y53" i="2" l="1"/>
  <c r="Z53" i="2" s="1"/>
  <c r="X233" i="2"/>
  <c r="W33" i="2"/>
  <c r="Y33" i="2" s="1"/>
  <c r="Z33" i="2" s="1"/>
  <c r="M31" i="2"/>
  <c r="M39" i="2" s="1"/>
  <c r="M233" i="2" s="1"/>
  <c r="Y32" i="2"/>
  <c r="Z32" i="2" s="1"/>
  <c r="N30" i="1"/>
  <c r="I30" i="1"/>
  <c r="B30" i="1"/>
  <c r="M30" i="1"/>
  <c r="K29" i="1"/>
  <c r="K28" i="1"/>
  <c r="W31" i="2" l="1"/>
  <c r="Y31" i="2"/>
  <c r="Z31" i="2" s="1"/>
  <c r="W39" i="2"/>
  <c r="K30" i="1"/>
  <c r="W233" i="2" l="1"/>
  <c r="Y39" i="2"/>
  <c r="Y233" i="2" l="1"/>
  <c r="Z233" i="2" s="1"/>
  <c r="Z39" i="2"/>
</calcChain>
</file>

<file path=xl/sharedStrings.xml><?xml version="1.0" encoding="utf-8"?>
<sst xmlns="http://schemas.openxmlformats.org/spreadsheetml/2006/main" count="2301" uniqueCount="1104">
  <si>
    <t xml:space="preserve">
</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</si>
  <si>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</si>
  <si>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</si>
  <si>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</si>
  <si>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</si>
  <si>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</si>
  <si>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</si>
  <si>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</si>
  <si>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</si>
  <si>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</si>
  <si>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</si>
  <si>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</si>
  <si>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</si>
  <si>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</si>
  <si>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</si>
  <si>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</si>
  <si>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</si>
  <si>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</si>
  <si>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</si>
  <si>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</si>
  <si>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</si>
  <si>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</si>
  <si>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</si>
  <si>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</si>
  <si>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</si>
  <si>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</si>
  <si>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</si>
  <si>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</si>
  <si>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</si>
  <si>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</si>
  <si>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</si>
  <si>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</si>
  <si>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</si>
  <si>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</si>
  <si>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</si>
  <si>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</si>
  <si>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</si>
  <si>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</si>
  <si>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t>
  </si>
  <si>
    <t>Найменування витрат</t>
  </si>
  <si>
    <t>Одиниця виміру</t>
  </si>
  <si>
    <t>Витрати за рахунок гранту УКФ</t>
  </si>
  <si>
    <t>Витрати за рахунок співфінансування</t>
  </si>
  <si>
    <t>Планові витрати відповідно до заявки</t>
  </si>
  <si>
    <t>Вартість за одиницю, грн</t>
  </si>
  <si>
    <t>Загальна сума, грн. (=5*6)</t>
  </si>
  <si>
    <t>Вартість за одиницю, грн.</t>
  </si>
  <si>
    <t>Загальна сума, грн. (=8*9)</t>
  </si>
  <si>
    <t>ВИТРАТИ:</t>
  </si>
  <si>
    <t>Стаття:</t>
  </si>
  <si>
    <t>Підстаття:</t>
  </si>
  <si>
    <t>Пункт:</t>
  </si>
  <si>
    <t>Щабельська Тетяна Петрiвна (бухгалтерка фестивалю)</t>
  </si>
  <si>
    <t>місяців</t>
  </si>
  <si>
    <t>За трудовими договорами</t>
  </si>
  <si>
    <t>Алєскєрова Лала Хайямівна (програмна директорка фестивалю)</t>
  </si>
  <si>
    <t>Прядун Наталія Михайлівна (координаторка рекламної служби фестивалю)</t>
  </si>
  <si>
    <t>За договорами ЦПХ</t>
  </si>
  <si>
    <t>Ханамерян Белла Артурівна (директорка фестивалю)</t>
  </si>
  <si>
    <t>Данилова Тетяна Ростиславівна (кураторка конкурсу цифрового малюнку iParus; програмна менеджерка дитячої програми фестивалю)</t>
  </si>
  <si>
    <t>Матюх Оксана Володимірівна (менеджерка конкурсу iParus)</t>
  </si>
  <si>
    <t>Турчанова Ольга Дмитриївна (smm-менеджерка)</t>
  </si>
  <si>
    <t>Бурганов Костянтин Ігорович (менеджер з організації технічного забезпечення фестивалю офлайн</t>
  </si>
  <si>
    <t>Яворська Олена Леонідівна (кураторка конкурсних проєктів фестивалю "Зелена хвиля" - "Мистецтво книги", "Одеса на книжкових сторінках").</t>
  </si>
  <si>
    <t>Батракова Валерія Олександрівна (координаторка книжкового ярмарку фестивалю)</t>
  </si>
  <si>
    <t>Рубцова Юлія Сергіївна (дизайнерка рекламної продукції фестивалю)</t>
  </si>
  <si>
    <t>Казакова Оксана Вікторівна (менеджерка фестивалю)</t>
  </si>
  <si>
    <t>Соціальні внески з оплати праці (нарахування ЄСВ)</t>
  </si>
  <si>
    <t>Штатні працівники</t>
  </si>
  <si>
    <t>За строковими трудовими договорами</t>
  </si>
  <si>
    <t>За договорами з ФОП</t>
  </si>
  <si>
    <t>Витрати пов'язані з відрядженнями (для штатних працівників)</t>
  </si>
  <si>
    <t>Вартість проїзду (для штатних працівників)</t>
  </si>
  <si>
    <t>шт.</t>
  </si>
  <si>
    <t>Вартість проживання (для штатних працівників)</t>
  </si>
  <si>
    <t>Рахунки з готелів (з вказаним прізвищем відрядженої особи)</t>
  </si>
  <si>
    <t>доба</t>
  </si>
  <si>
    <t>Добові (для штатних працівників)</t>
  </si>
  <si>
    <t>Добові, вказати ПІБ( розрахунок на відряджену особу)</t>
  </si>
  <si>
    <t>Добові, вказати ПІБ ( розрахунок на відряджену особу)</t>
  </si>
  <si>
    <t>Всього по статті 2 "Витрати пов'язані з відрядженнями":</t>
  </si>
  <si>
    <t>Обладнання і нематеріальні активи</t>
  </si>
  <si>
    <t>Обладнання, інструменти, інвентар, які необхідні для використання його при реалізації проєкту грантоотримувача</t>
  </si>
  <si>
    <t>Нематеріальні активи, які необхідні до придбання для використання їх при реалізації проєкту грантоотримувача (за рахунок співфінансування)</t>
  </si>
  <si>
    <t>послуга</t>
  </si>
  <si>
    <t>Недопустимі витрати за рахунок гранту УКФ</t>
  </si>
  <si>
    <t>Інші нематеріальні активи</t>
  </si>
  <si>
    <t>Всього по статті 3 "Обладнання і нематеріальні активи":</t>
  </si>
  <si>
    <t>Витрати пов'язані з орендою</t>
  </si>
  <si>
    <t>Оренда приміщення</t>
  </si>
  <si>
    <t>Адреса орендованого приміщення, із зазначенням метражу, годин оренди. Пироговська 3, оф.83, 70 м.</t>
  </si>
  <si>
    <t>діб</t>
  </si>
  <si>
    <t>Короткострокова оренда приміщення для організації подій у гібрідних форматах (офлайн+онлайн), 100 м.кв.</t>
  </si>
  <si>
    <t>Оренда шатра 7х5 м. для майданчику "Територія дитячої творчості" з 4 по 8 серпня.</t>
  </si>
  <si>
    <t>Оренда вуличних вентиляторів з водним оприскувачем для розміщення на майданчику фестивалю, 3 шт.</t>
  </si>
  <si>
    <t>Оренда стільців для розміщення біля головної сцени та на майданчику "Територія дитячої творчості " з 5 по 8 серпня.</t>
  </si>
  <si>
    <t>шт</t>
  </si>
  <si>
    <t>Оренда світлодіодного екрану 3х4 м для розміщення на головній сцені фестивалю з 5 по 8 серпня.</t>
  </si>
  <si>
    <t>Оренда обладнання для технічного забезпечення головної сцени фестивалю з 5 по 8 серпня.</t>
  </si>
  <si>
    <t>Оренда обладнання для звукового забезпечення центральної алеї фестивалю з 4 по 8 серпня.</t>
  </si>
  <si>
    <t>Оренда мультимедійного обладнання та звукового обладнання для забезпечення роботи майданчику "Територія дитячої творчості" фестивалю з 5 по 8 серпня.</t>
  </si>
  <si>
    <t>Оренда конструкції для організації навігації відвідувачів на локаціях фестивалю з 4 по 8 серпня.</t>
  </si>
  <si>
    <t>Оренда LED ламп - прожекторів, 50-100 кВт для освітлювання всієї території фестивалю з 4 по 8 серпня.</t>
  </si>
  <si>
    <t>Оренда кабелю трифазного підключення 4х25, 500-1000 м. з 3 по 8 серпня.</t>
  </si>
  <si>
    <t>Оренда генератора 60 кВт для забезпечення роботи обладнання майданчика фестивалю з 3 по 8 серпня.</t>
  </si>
  <si>
    <t>Оренда пушки з конфеті, 6 серпня.</t>
  </si>
  <si>
    <t>Оренда крісел-мішків 130х90 на 4 доби, 20 шт.</t>
  </si>
  <si>
    <t>шт. (діб)</t>
  </si>
  <si>
    <t>Оренда обладнання для синхронного перекладу з 5 по 8 серпня.</t>
  </si>
  <si>
    <t>Найменування інструменту (з деталізацією технічних характеристик)</t>
  </si>
  <si>
    <t>Оренда транспорту</t>
  </si>
  <si>
    <t>Оренда легкового автомобіля для організації трансферу гостей фестивалю.</t>
  </si>
  <si>
    <t>Оренда вантажного автомобіля (із зазначенням маршруту, кілометражу/кількості годин)</t>
  </si>
  <si>
    <t>Оренда сценічно-постановочних засобів</t>
  </si>
  <si>
    <t>Найменування (з деталізацією технічних характеристик)</t>
  </si>
  <si>
    <t>Інші об'єкти оренди</t>
  </si>
  <si>
    <t>Аренда ноутбуків Asus X509UB або аналогічних на весь час дії проєкту.</t>
  </si>
  <si>
    <t>Всього по статті 4 "Витрати пов'язані з орендою":</t>
  </si>
  <si>
    <t>Послуги з харчування</t>
  </si>
  <si>
    <t>Послуги з харчування (сніданок/обід/вечеря/кава-брейк)</t>
  </si>
  <si>
    <t>учасн.</t>
  </si>
  <si>
    <t>Витрати на проїзд учасників заходів</t>
  </si>
  <si>
    <t>Вартість квитків (з деталізацією маршруту і прізвищем особи, що відряджається)</t>
  </si>
  <si>
    <t>Витрати на проживання учасників заходів</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</si>
  <si>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</si>
  <si>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</si>
  <si>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Основні матеріали та сировина</t>
  </si>
  <si>
    <t>Найменування</t>
  </si>
  <si>
    <t>Носії, накопичувачі</t>
  </si>
  <si>
    <t>Інші матеріальні витрати</t>
  </si>
  <si>
    <t>Всього по статті 6 "Матеріальні витрати":</t>
  </si>
  <si>
    <t>Поліграфічні послуги</t>
  </si>
  <si>
    <t>Друк дипломів переможців та фіналістів конкурсу "iParus"</t>
  </si>
  <si>
    <t>Футболки, промоційний принт 4+0</t>
  </si>
  <si>
    <t>Сумки промоційні 4+0</t>
  </si>
  <si>
    <t>Друк ілюстрацій фіналістів конкурсу iParus на холсті формату А2</t>
  </si>
  <si>
    <t>Друк банеру 5х3.5, пропайка по периметру, люверси 40 см</t>
  </si>
  <si>
    <t>Друк банеру без люверсів 2х2.5 + каркас</t>
  </si>
  <si>
    <t>Друк банеру без люверсів 6х3 + каркас</t>
  </si>
  <si>
    <t>Друк банеру без люверсів 2х3 + каркас</t>
  </si>
  <si>
    <t>Друк банеру для фестивалю "Зелена хвиля", без люверсів 6х3 + каркас</t>
  </si>
  <si>
    <t>7.13</t>
  </si>
  <si>
    <t>Друк банеру для фестивалю "Зелена хвиля" 3х2.5, люверси 40 см (прес-вол)</t>
  </si>
  <si>
    <t>7.14</t>
  </si>
  <si>
    <t>Друк ролапу 1х2 для фестивалю "Зелена хвиля"</t>
  </si>
  <si>
    <t>7.15</t>
  </si>
  <si>
    <t>Друк буклету з програмою фестивалю (300х210, 4+4, меловка 130 гр. 2 фальци)</t>
  </si>
  <si>
    <t>7.16</t>
  </si>
  <si>
    <t>Друк афіші офлайн-програми фестивалю для розміщення на центральних вулицях міста</t>
  </si>
  <si>
    <t>7.17</t>
  </si>
  <si>
    <t>Друк афіші онлайн-програми фестивалю для розміщення у бібліотеках</t>
  </si>
  <si>
    <t>7.18</t>
  </si>
  <si>
    <t>Друк фризів</t>
  </si>
  <si>
    <t>7.19</t>
  </si>
  <si>
    <t>Друк інших роздаткових матеріалів</t>
  </si>
  <si>
    <t>7.20</t>
  </si>
  <si>
    <t>Інші поліграфічні послуги</t>
  </si>
  <si>
    <t>7.21</t>
  </si>
  <si>
    <t>Всього по статті 7 "Поліграфічні послуги":</t>
  </si>
  <si>
    <t>Видавничі послуги</t>
  </si>
  <si>
    <t>Послуги коректора</t>
  </si>
  <si>
    <t>сторінка</t>
  </si>
  <si>
    <t>Послуги верстки</t>
  </si>
  <si>
    <t>екземпляр</t>
  </si>
  <si>
    <t>Інші витрати (вказати надану послугу)</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</si>
  <si>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</si>
  <si>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</si>
  <si>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</si>
  <si>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днів</t>
  </si>
  <si>
    <t>Послуги з виготовлення промороликів конкурсу iParus</t>
  </si>
  <si>
    <t>Послуги з виготовлення відеоряду з роботами учасників конкурсу iParus для транслювання під час проведення урочистої церемонії нагородження переможців</t>
  </si>
  <si>
    <t>Послуги з виготовлення промороликів фестивалю</t>
  </si>
  <si>
    <t>Розміщення афіш фестивалю на центральних вулицях міста</t>
  </si>
  <si>
    <t>Розміщення реклами фестивалю "Зелена хвиля" на бордах</t>
  </si>
  <si>
    <t>Розміщення реклами фестивалю на радіо (8 радіостанцій)</t>
  </si>
  <si>
    <t>Просування рекламно-інформаційного контенту фестивалю та сторінок "Зелена хвиля" в інтернеті та соціальних мережах Facebook та Instagram</t>
  </si>
  <si>
    <t>Просування сторінки конкурсу "IParus" в інтернеті та соціальних мережах</t>
  </si>
  <si>
    <t>Розробка рекламної та pr-кампанії конкурсу "IParus"</t>
  </si>
  <si>
    <t>Послуги копірайтера</t>
  </si>
  <si>
    <t>9.13</t>
  </si>
  <si>
    <t>Послуга з ведення та просування ютуб-канала фестивалю</t>
  </si>
  <si>
    <t>9.14</t>
  </si>
  <si>
    <t>Соціальні внески за договорами ЦПХ з підрядниками (ЄСВ) розділу "Послуги з просування"</t>
  </si>
  <si>
    <t>Створення web-ресурсу</t>
  </si>
  <si>
    <t>Послуга з обслуговування сайту "iParus"</t>
  </si>
  <si>
    <t>Послуга з обслуговування сайту Зеленой хвили, СЕО, адаптування.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</si>
  <si>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</si>
  <si>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</si>
  <si>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</si>
  <si>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Всього по статті 11 "Придбання методичних, навчальних, інформаційних матеріалів, в т.ч. на електроних носіях інформації":</t>
  </si>
  <si>
    <t>Послуги з перекладу</t>
  </si>
  <si>
    <t>година</t>
  </si>
  <si>
    <t>Письмові переклади з англійскої, польскої, італьскої та ін. мов на українську та навпаки</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</si>
  <si>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</si>
  <si>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</si>
  <si>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</si>
  <si>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Адміністративні витрати</t>
  </si>
  <si>
    <t>Бухгалтерські послуги</t>
  </si>
  <si>
    <t>Юридичні послуги</t>
  </si>
  <si>
    <t>Аудиторські послуги</t>
  </si>
  <si>
    <t>Соціальні внески за договорами ЦПХ з підрядниками (ЄСВ) розділу "Адміністративні витрати"</t>
  </si>
  <si>
    <t>Послуги комп'ютерної обробки, монтажу, зведення</t>
  </si>
  <si>
    <t>Анімація переходів, графічний дизайн, спецефекти</t>
  </si>
  <si>
    <t>Титрування відеоконтенту онлайн та офлайн подій</t>
  </si>
  <si>
    <t>Соціальні внески за договорами ЦПХ з підрядниками (ЄСВ) розділу "Послуги комп'ютерної обробки, монтажу, зведення"</t>
  </si>
  <si>
    <t>Витрати на послуги страхування</t>
  </si>
  <si>
    <t>Вказати предмет страхування</t>
  </si>
  <si>
    <t>Послуги інтернет-провайдера (вказати період надання послуг)</t>
  </si>
  <si>
    <t>Банківська комісія за переказ (відповідно до тарифів обслуговуючого банку)</t>
  </si>
  <si>
    <t>Розрахунково-касове обслуговування (відповідно до тарифів обслуговуючого банку)</t>
  </si>
  <si>
    <t>Інші послуги банку (відповідно до тарифів обслуговуючого банку)</t>
  </si>
  <si>
    <t>Витрати на авіаквитки та залізничні квітки для гостей фестивалю</t>
  </si>
  <si>
    <t>Розміщення гостей фестивалю в готелях міста, 2 добі.</t>
  </si>
  <si>
    <t>Послуги технічного супроводження подій на головній сцені фестивалю, на майданчику "Територія дитячої творчості"</t>
  </si>
  <si>
    <t>Послуги оператора зйомок онлайн та офлайн подій фестивалю</t>
  </si>
  <si>
    <t>Послуги ведучих офлайн подій фестивалю</t>
  </si>
  <si>
    <t>Послуги з організації та технічного обслуговування прямих ефірів та телемостів</t>
  </si>
  <si>
    <t>Послуги піротехника по запуску холодного фонтану</t>
  </si>
  <si>
    <t>Послуги з оформлення фотозони фестивалю "Зелена хвиля"</t>
  </si>
  <si>
    <t>Послуги з оформлення фотозони конкурсу "iParus"</t>
  </si>
  <si>
    <t>Послуги з монтажу\демонтажу експозиції фестивалю та технічного обслуговування конструкцій, електромереж, освітлення, з розносу меблів, устаткування фотозон, навігації тощо.</t>
  </si>
  <si>
    <t>осіб</t>
  </si>
  <si>
    <t>Послуги з организації прес-конференцій фестивалю та контроль за розміщенням інформації на інформаційних ресурсах.</t>
  </si>
  <si>
    <t>Послуги гостьової служби фестивалю</t>
  </si>
  <si>
    <t>Послуги охорони та забезпечення правопорядку на фестивалі</t>
  </si>
  <si>
    <t>Соціальні внески за договорами ЦПХ з підрядниками (ЄСВ) розділу "Інші прямі витрати"</t>
  </si>
  <si>
    <t>Всього по статті 13 "Інші прямі витрати":</t>
  </si>
  <si>
    <t>РЕЗУЛЬТАТ РЕАЛІЗАЦІЇ ПРОЄКТУ</t>
  </si>
  <si>
    <t>(посада)</t>
  </si>
  <si>
    <t>(підпис, печатка)</t>
  </si>
  <si>
    <t>(ПІБ)</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</si>
  <si>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</si>
  <si>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</si>
  <si>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</si>
  <si>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</si>
  <si>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</si>
  <si>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</si>
  <si>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</si>
  <si>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</si>
  <si>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</si>
  <si>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</si>
  <si>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</si>
  <si>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</si>
  <si>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1.1</t>
  </si>
  <si>
    <t>Оплата праці штатних працівників  організації- заявника (лише у вигляді премії)</t>
  </si>
  <si>
    <t>1.1.1</t>
  </si>
  <si>
    <t>бухгалтерка фестивалю</t>
  </si>
  <si>
    <t>1.2</t>
  </si>
  <si>
    <t>За  трудовими договорами</t>
  </si>
  <si>
    <t>1.2.1</t>
  </si>
  <si>
    <t>програмна директорка фестивалю</t>
  </si>
  <si>
    <t>1.2.2.</t>
  </si>
  <si>
    <t>координаторка рекламної служби фестивалю</t>
  </si>
  <si>
    <t>1.3</t>
  </si>
  <si>
    <t>1.3.1</t>
  </si>
  <si>
    <t>директорка фестивалю</t>
  </si>
  <si>
    <t>Ханамерян Белла Артурівна Паспорт серія КЕ879778, виданий 26.12.1997р. Приморським РВ УМВД України в Одеській обалсті, ІПН 260871822, м.Одеса, вул.Базарна, буд.5, кор.1, кв.55.</t>
  </si>
  <si>
    <t>Акт робіт б/н від 16 серпня 2021 на суму 16000,00 грн дохід + 22%ЕСВ -3520грн ПДФО-2880грн,ВЗ 240,00грн. До сплати 12880,грн. Акт робіт б/н від 30 вересня 2021р на суму 8000,00 грн.дохід + 22%ЕСВ -1760грн, ПДФО-1440грн,ВЗ 120грн. До сплати на руки 6440,00грн. Акт робіт б/н від 29 жовтня 2021р., на суму 8000,00грн., дохід +22% ЄСВ -1760,00, ПДФО-1440,00, ВЗ -120,00. До виплати - 6440,00 грн.</t>
  </si>
  <si>
    <t>ПД№131 ПДФО- 2880,00 грн, ПД №132 ВЗ-240грн,ПД№133 ЄСВ- 3520,00 грн. від 19.08.2021р.ПД №205 ПДФО- 1440,00 грн, ПД №206 ВЗ-120грн,від ПД№207 ЄСВ- 1760 грн. від 30.09.2021р. ПД № 288 ПДФО-1440,00, ПД№289 ВЗ-120,00,ПД№ 290ЄСВ-1760,00 грн від 05.11.2021р. ВКО № 14 від 19.08.21р., -12880,00, ВКО №33 від 30.09.2021р., -6440,00, ВКО № 48 від 05.11.2021р. - 6440,00 грн.</t>
  </si>
  <si>
    <t>1.3.2</t>
  </si>
  <si>
    <t>кураторка конкурсу цифрового малюнку iParus; програмна менеджерка дитячої програми фестивалю</t>
  </si>
  <si>
    <t>Данілова Тетяна Ростиславівна           Паспорт серія КЕ № 039499, виданий 20.10.1995р. Київським РВ УМВС України в Одеській області, ІПН 2899708507, м.Одеса, Фонтанська дорога б.39, кв.140</t>
  </si>
  <si>
    <t>Пд№134 ПДФО-2700,00 грн, ПД№135 ВЗ-225,00 грн, ПД№136 ЄСВ-3300,00 грн. від 19.08.2021р.,ПД№208 ПДФО-1440,00 ПД№209 ВЗ-120,00, ПД№ 210 ЄСВ-1760,00грн. від 30.09.2021р.,ПД№ 292 ВЗ-105,00, ПД№ 291 ПДФО-1260,00грн., ПД№ 293 ЄСВ-1540,00грн.,ВКО № 15 від 19.08.2021р.- 12075,00 грн, ВКО№34 від 30.09.2021р., - 6440,00 грн., ВКО№49 від 05.11.2021р,-5635,00 грн.</t>
  </si>
  <si>
    <t>1.3.3</t>
  </si>
  <si>
    <t>менеджерка конкурсу iParus</t>
  </si>
  <si>
    <t xml:space="preserve">Матюх Оксана Володимірівна, ІПН 2628614429, паспорт серії НА № 285907 виданий Шепетівським МРВ України в Хмельницькій обл., 12.08.1997р., м.Одеса, вул. Катерининська, б.90, кв.77
</t>
  </si>
  <si>
    <t>1.3.4</t>
  </si>
  <si>
    <t>smm-менеджерка</t>
  </si>
  <si>
    <t>Турчанова Ольга Дмитриївна  Паспорт серія СТ№145122, виданий 09.10.2009р. Портофранківським РВ Приморського РВ УМВД України в Одеській області, ІПН 22970216386, м.Одеса, вул.Дігтярна, буд 27,  кв22.</t>
  </si>
  <si>
    <t>акт  приймання передачі виконаних робіт б/н від 16 серпня 2021 на суму 14000грн винагорода+ 22%ЕСВ3080грн ПДФО-2520грн,ВЗ 210,00грн. До сплати 11270,грн. Акт  приймання передачі виконаних робіт б/н від 30 вересня 2021 на суму 7000грн винагорода+ 22%ЕСВ 1540грн ПДФО-1260грн,ВЗ 105,00грн. До сплати 5635грн  Акт надання послуг від 29.10.2021р., на суму-5000,00 +22%ЄСВ-1100,00 ПДФО-900,00, ВЗ-75,00, до виплати -4025,00</t>
  </si>
  <si>
    <t>1.3.5</t>
  </si>
  <si>
    <t xml:space="preserve">менеджер з організації технічного забезпечення фестивалю офлайн
</t>
  </si>
  <si>
    <t xml:space="preserve">Бурганов Костянтин Ігорович, Паспорт серія КК№594559, виданий 05.03.2001р. Центральним  РВ УМВС України в Одеській обалсті, ІПН 3099221819, м.Одеса, вул.Пастера, буд 42, кв.13
</t>
  </si>
  <si>
    <t xml:space="preserve">Цивільно правовий договір № 5БК від 15.07.2021р. Сума договору-21000грн винагорода +22% ЕСВ 4620 грн. Згода на обробку персональних даних від 24.06.2021р. </t>
  </si>
  <si>
    <t>акт  приймання передачі виконаних робіт б/н від 18 серпня 2021 на суму 14000грн винагорода+ 22%ЕСВ3080грн ПДФО-2520грн,ВЗ 210,00грн. До сплати 11270,грн.Акт  приймання передачі виконаних робіт б/н від 30 вересня 2021 на суму 7000грн винагорода+ 22%ЕСВ 1540грн ПДФО-1260грн,ВЗ 105,00грн. До сплати 5635грн</t>
  </si>
  <si>
    <t>ПД№148 20.08.2021 ПДФО 2520грн,ПД149 20.08.2021 р ВЗ 210 грн.,ПД150 20.08.2021 ЕСВ 3080 грн.  ПД№204 30.09.2021р ЕСВ 1540грн,ПД202 30.09.2021р ПДФО 1260,00 грн. , ПД №203 30.09.2021р ВЗ 105грн. 30.09.21р., ВКО № 18 від 20.08.21р., на суму-11270,00, ВКО № 32 від 30.09.21р., на суму-5635,00</t>
  </si>
  <si>
    <t>1.3.6</t>
  </si>
  <si>
    <t>кураторка конкурсних проєктів фестивалю "Зелена хвиля" - "Мистецтво книги", "Одеса на книжкових сторінках"</t>
  </si>
  <si>
    <t xml:space="preserve">Яворська Олена Леонідівна Паспорт серія КК№344550, виданий 11.10.1999р. Центральним  РВ УМВС України в Одеській області, ІПН 2280009702, м.Одеса, вул.Пастера, буд 23,  кв.54 </t>
  </si>
  <si>
    <t>акт  приймання передачі виконаних робіт б/н від 30 вересня 2021 на суму 5000грн винагорода+ 22%ЕСВ 1100грн ПДФО-900грн,ВЗ 75,00грн. До сплати 4025грн, Акт надання послуг від 29.10.2021р., на суму-4000,00+22% ЄСВ-880,00, ПДФО-720,00, ВЗ--60,00, до виплати-3220,00.</t>
  </si>
  <si>
    <t>1.3.7</t>
  </si>
  <si>
    <t>координаторка книжкового ярмарку фестивалю</t>
  </si>
  <si>
    <t xml:space="preserve">Батракова Валерія Олександрівна, Паспорт 001960946, орган видачі 5115, дата оформлення 11.06.2018р. Картка платника податків 3475406444,мешакає за адресою:Одеса, вул.Довженко, буд 9 Б </t>
  </si>
  <si>
    <t>1.3.8</t>
  </si>
  <si>
    <t>дизайнерка рекламної продукції фестивалю</t>
  </si>
  <si>
    <t>Рубцова Юлія Сергіївна, Посвідка  на плстійне  проживання ІН №142915, виданий  органом 5101, в Одеській області 28.11.2017 р.Мешкає за адресою :Одеса, вул. Контрадмірала Луніна, буд.76, кв. 55 картка платника податків 3184822180</t>
  </si>
  <si>
    <t>акт  приймання передачі виконаних робіт б/н від 17.08. 2021р. на суму 12423грн винагорода+ 22%ЕСВ 2733,06грн ПДФО-2236,14грн,ВЗ 186,34грн. До сплати 10000,52грн.Акт  приймання передачі виконаних робіт б/н від 23.09. 2021р. на суму 7577грн винагорода+ 22%ЕСВ 1666,94грн ПДФО-1363,86грн,ВЗ 113,65грн. До сплати 6099,49грн.</t>
  </si>
  <si>
    <t>1.3.9</t>
  </si>
  <si>
    <t>менеджерка фестивалю</t>
  </si>
  <si>
    <t xml:space="preserve">Казакова Оксана Вікторівна, пасорт серія КК №960243, виданий Київським РВ ОМУ УМВС України в Одеській області 26.06.2002 року, мешкає за адреою: Одесавул. Люстдорфська, будинок 157, кв. 80, номер платника податків 2625313506 </t>
  </si>
  <si>
    <t>1.4</t>
  </si>
  <si>
    <t>1.4.1</t>
  </si>
  <si>
    <t>1.4.2</t>
  </si>
  <si>
    <t>1.4.3</t>
  </si>
  <si>
    <t>1.5.</t>
  </si>
  <si>
    <t>1.5.1</t>
  </si>
  <si>
    <t xml:space="preserve"> Повне ПІБ, зазначити конкретну назву послуги/виконання робіт</t>
  </si>
  <si>
    <t>1.5.2</t>
  </si>
  <si>
    <t>1.5.3</t>
  </si>
  <si>
    <t>2.1</t>
  </si>
  <si>
    <t>2.1.1</t>
  </si>
  <si>
    <t>Вартість квитків (з деталізацією маршруту і  прізвищем відрядженої особи)</t>
  </si>
  <si>
    <t>2.1.2</t>
  </si>
  <si>
    <t>2.1.3</t>
  </si>
  <si>
    <t>2.2</t>
  </si>
  <si>
    <t>2.2.1</t>
  </si>
  <si>
    <t>2.2.2</t>
  </si>
  <si>
    <t>2.2.3</t>
  </si>
  <si>
    <t>2.3</t>
  </si>
  <si>
    <t>2.3.1</t>
  </si>
  <si>
    <t>2.3.2</t>
  </si>
  <si>
    <t>2.3.3</t>
  </si>
  <si>
    <t>3.1</t>
  </si>
  <si>
    <t>4.1</t>
  </si>
  <si>
    <t>4.1.1</t>
  </si>
  <si>
    <t>Адреса орендованого приміщення, із зазначенням метражу, годин оренди.  Пироговська 3, оф.83, 70 м.</t>
  </si>
  <si>
    <t>4.1.2</t>
  </si>
  <si>
    <t xml:space="preserve">Оренда студії для організації і проведення онлайн-подій - телемостів та ін. Рішельєвська 42, 20 м </t>
  </si>
  <si>
    <t>4.1.4</t>
  </si>
  <si>
    <t xml:space="preserve">Короткострокова оренда приміщення для організації виставки робіт конкурсу "iParus". </t>
  </si>
  <si>
    <t>4.1.5</t>
  </si>
  <si>
    <t>Короткострокова оренда локації парку ім.Т.Г.Шевченка для розміщення офлайн експозиції фестивалю
з 2 по 10 серпня, 6000 м.кв.</t>
  </si>
  <si>
    <t>4.1.6</t>
  </si>
  <si>
    <t>4.2</t>
  </si>
  <si>
    <t xml:space="preserve">Оренда техніки, обладнання та інструменту </t>
  </si>
  <si>
    <t>4.2.1</t>
  </si>
  <si>
    <t>Оренда арочного намету 10х20 м. для розміщення фестивального центру, головної сцени офлайн програми проєкту.
 З 4 по 8 серпня.</t>
  </si>
  <si>
    <t>4.2.2.</t>
  </si>
  <si>
    <t>4.2.3.</t>
  </si>
  <si>
    <t>4.2.4.</t>
  </si>
  <si>
    <t>Оренда стільців для розміщення біля головної сцени та на майданчику "Територія дитячої творчості " з  5 по 8 серпня.</t>
  </si>
  <si>
    <t>ОВАРИСТВО З ОБМЕЖЕНОЮ ВІДПОВІДАЛЬНІСТЮ "ОРІОН ЛОДЖИСТІКС ЕДЖЕНСІ" 65005, Одеська обл., місто Одеса, вул.Дальницька, будинок 46, офіс 310</t>
  </si>
  <si>
    <t>ПД№85 вд 03.08.2021р на суму 18000,00грн.</t>
  </si>
  <si>
    <t>4.2.5</t>
  </si>
  <si>
    <t>4.2.6</t>
  </si>
  <si>
    <t>ПД№162 від 31.08.2021р на суму 90000,00</t>
  </si>
  <si>
    <t>4.2.7</t>
  </si>
  <si>
    <t>4.2.8</t>
  </si>
  <si>
    <t>4.2.9</t>
  </si>
  <si>
    <t>4.2.10</t>
  </si>
  <si>
    <t>4.2.11</t>
  </si>
  <si>
    <t>4.2.12</t>
  </si>
  <si>
    <t>4.2.13</t>
  </si>
  <si>
    <t>4.2.14</t>
  </si>
  <si>
    <t>4.2.15</t>
  </si>
  <si>
    <t>4.2.16</t>
  </si>
  <si>
    <t>4.3</t>
  </si>
  <si>
    <t>4.3.1</t>
  </si>
  <si>
    <t>4.3.2</t>
  </si>
  <si>
    <t>4.3.3</t>
  </si>
  <si>
    <t xml:space="preserve">Оренда автобуса для трансферу артистів ювілейного концерту (із зазначенням маршруту, кілометражу/кількості годин)
</t>
  </si>
  <si>
    <t>4.4</t>
  </si>
  <si>
    <t>4.4.1</t>
  </si>
  <si>
    <t>4.4.2</t>
  </si>
  <si>
    <t>4.4.3</t>
  </si>
  <si>
    <t>4.5</t>
  </si>
  <si>
    <t>4.5.1</t>
  </si>
  <si>
    <t>4.5.2</t>
  </si>
  <si>
    <t>4.5.3</t>
  </si>
  <si>
    <t>5.1</t>
  </si>
  <si>
    <t>5.1.1</t>
  </si>
  <si>
    <t>5.1.2</t>
  </si>
  <si>
    <t>5.1.3</t>
  </si>
  <si>
    <t>5.2</t>
  </si>
  <si>
    <t>5.2.1</t>
  </si>
  <si>
    <t>5.2.2</t>
  </si>
  <si>
    <t>5.2.3</t>
  </si>
  <si>
    <t>5.3</t>
  </si>
  <si>
    <t>5.3.1</t>
  </si>
  <si>
    <t>5.3.2</t>
  </si>
  <si>
    <t>5.3.3</t>
  </si>
  <si>
    <t>6.1</t>
  </si>
  <si>
    <t>6.1.1</t>
  </si>
  <si>
    <t>6.1.2</t>
  </si>
  <si>
    <t>6.1.3</t>
  </si>
  <si>
    <t>6.2</t>
  </si>
  <si>
    <t>6.2.1</t>
  </si>
  <si>
    <t>6.3</t>
  </si>
  <si>
    <t>6.3.1</t>
  </si>
  <si>
    <t>6.3.2</t>
  </si>
  <si>
    <t>7.1</t>
  </si>
  <si>
    <t xml:space="preserve">Друк дипломів переможців та фіналістів конкурсу "iParus" </t>
  </si>
  <si>
    <t>7.2</t>
  </si>
  <si>
    <t xml:space="preserve">Друк дипломів учасників фестивалю </t>
  </si>
  <si>
    <t>7.3</t>
  </si>
  <si>
    <t>7.4</t>
  </si>
  <si>
    <t>7.5</t>
  </si>
  <si>
    <t>Друк ілюстрацій фіналістів конкурсу  iParus на холсті формату А2</t>
  </si>
  <si>
    <t>7.6</t>
  </si>
  <si>
    <t>Фізична особа піджприємець КОЛЕСНІЧЕНКО ЛАРИСА ВОЛОДИМИРІВНА, ЄДРПОУ 1915718843, Україна, 65012, Одеська обл., місто Одеса, ВУЛИЦЯ БАЗАРНА, будинок 50, квартира 17</t>
  </si>
  <si>
    <t>7.7</t>
  </si>
  <si>
    <t xml:space="preserve">Друк банеру без люверсів 12х0.5 </t>
  </si>
  <si>
    <t>7.8</t>
  </si>
  <si>
    <t>7.9</t>
  </si>
  <si>
    <t>7.10</t>
  </si>
  <si>
    <t xml:space="preserve">Друк банеру без люверсів 3х2.5 + каркас </t>
  </si>
  <si>
    <t>7.11</t>
  </si>
  <si>
    <t>7.12</t>
  </si>
  <si>
    <t xml:space="preserve">Друк банеру для фестивалю "Зелена хвиля", без люверсів 6х3 + каркас </t>
  </si>
  <si>
    <t>Друк банеру для фестивалю "Зелена хвиля"  3х2.5, люверси 40 см (прес-вол)</t>
  </si>
  <si>
    <t>Фізична особа підприжмець Дога Ольга Анатоліївна, ІПН 3095718642,Україна, 65123, Одеська обл., місто Одеса, вул.Палія Семена, будинок 74, квартира 77</t>
  </si>
  <si>
    <t>ПД№143 19.08.201 року на суму 8000,00грн</t>
  </si>
  <si>
    <t>ТОВ "ВКФ "ХОББІТ ПЛЮС" код єдрпоу 33915764,Україна, 65091, Одеська обл., місто Одеса, ВУЛИЦЯ СКІСНА , будинок 12, виписка з ЄДР від 12.02.2021 року</t>
  </si>
  <si>
    <t>ПД№2508 від 21.07.2021 року на суму 4200,00 грн.</t>
  </si>
  <si>
    <t>Друк афіші онлайн-програми фестивалю  для розміщення у бібліотеках</t>
  </si>
  <si>
    <t xml:space="preserve"> </t>
  </si>
  <si>
    <t xml:space="preserve">Соціальні внески за договорами ЦПХ з підрядниками (ЄСВ) розділу "Поліграфічні послуги" </t>
  </si>
  <si>
    <t>8.1</t>
  </si>
  <si>
    <t>8.2</t>
  </si>
  <si>
    <t>8.3</t>
  </si>
  <si>
    <t xml:space="preserve">Друк художніх альбомів робіт фіналістів конкурсу "iParus" </t>
  </si>
  <si>
    <t>8.4</t>
  </si>
  <si>
    <t>8.5</t>
  </si>
  <si>
    <t xml:space="preserve">Фотофіксація подій </t>
  </si>
  <si>
    <t xml:space="preserve">Послуги з виготовлення промороликів  фестивалю </t>
  </si>
  <si>
    <t>Фізична особа підприємець МОВЧАН ОЛЕКСАНДР ВАЛЕРІЙОВИЧ, Код ІПН3033102150,адреса реєстарції:Україна, 65031, Одеська обл., місто Одеса, ПРОВУЛОК ДЕРЕВООБРОБНИЙ 4-Й, будинок 82</t>
  </si>
  <si>
    <t>ПД№120  від 12.08.2021 р. сума 10800,00 грн</t>
  </si>
  <si>
    <t>ТОВАРИСТВО З ОБМЕЖЕНОЮ ВІДПОВІДАЛЬНІСТЮ "ІНФОКОМ ПІВДЕНЬ", код ЄДРПОУ 37947716, адреса: 
Україна, 65044, Одеська обл., місто Одеса, ПРОСПЕКТ ГАГАРІНА, будинок 13, квартира 50</t>
  </si>
  <si>
    <t xml:space="preserve">Послуги з розміщення реклами в ЗМІ </t>
  </si>
  <si>
    <t>Фізична особа підприємець Пронькіна Наталя Вікторівна, Код ІПН 3285607284, адреса: м Одеса ,Бульвар Французьський, буд. 22Б, кв. 28, паспортВН 253756 від 08.02.2006р.0, Згода  від 15.07.2021, Довідка про взяття на облік внутрішнього переміщення  особи від 26.10.2016р.</t>
  </si>
  <si>
    <t>9.12</t>
  </si>
  <si>
    <t>ПД№68 від 29.07.2021р на суму 12000,00грн ФОП Колесніченко Л.В.</t>
  </si>
  <si>
    <t xml:space="preserve">Послуга зі створення сайту "iParus" </t>
  </si>
  <si>
    <t xml:space="preserve">Усний переклад онлайн та офлайн заходів (синхронний та послідовний) з англійскої, польскої, італійської, російської мов на українську мову. </t>
  </si>
  <si>
    <t>Фізична особа підприємець МАТЮША ВІКТОРІЯ ІВАНІВНА,ІПН 3066114268,Україна, 03150, місто Київ, ВУЛИЦЯ ВЕЛИКА ВАСИЛЬКІВСЬКА, будинок 97, квартира 21, виписка з ЄДР від 18.09.2019 року.</t>
  </si>
  <si>
    <t>13.2</t>
  </si>
  <si>
    <t>13.1.1</t>
  </si>
  <si>
    <t>13.1.2</t>
  </si>
  <si>
    <t>13.1.3</t>
  </si>
  <si>
    <t>13.1.4</t>
  </si>
  <si>
    <t>13.2.1</t>
  </si>
  <si>
    <t xml:space="preserve">Монтаж, зведення відеоконтенту онлайн та офлайн заходів. </t>
  </si>
  <si>
    <t>13.2.2.</t>
  </si>
  <si>
    <t>13.2.3.</t>
  </si>
  <si>
    <t>13.2.4</t>
  </si>
  <si>
    <t>13.3</t>
  </si>
  <si>
    <t>13.3.1</t>
  </si>
  <si>
    <t>13.3.2</t>
  </si>
  <si>
    <t>13.3.3</t>
  </si>
  <si>
    <t>13.4</t>
  </si>
  <si>
    <t>13.4.1</t>
  </si>
  <si>
    <t>13.4.2</t>
  </si>
  <si>
    <t>13.4.3</t>
  </si>
  <si>
    <t>13.4.4</t>
  </si>
  <si>
    <t>13.4.5</t>
  </si>
  <si>
    <t xml:space="preserve">Послуга з розробки візуальної концепції 25-го ювілейного фестивалю «Зелена хвиля»
</t>
  </si>
  <si>
    <t>13.4.6</t>
  </si>
  <si>
    <t xml:space="preserve">Видаткова накладна ВН-3358а від 27.09.2021 р. на суму 2723,00грн., , </t>
  </si>
  <si>
    <t>Посадочний документ 000842с7-СЕ74-964С-0001  від 20.07.2021р.  Дуда Тамара, на суму 708,82грн</t>
  </si>
  <si>
    <t>ПД№96 від 09.08.2021 року ена суму 708,82 грн</t>
  </si>
  <si>
    <t>ПД №107 від 09.08.2021 року на суму 2042,11 грн</t>
  </si>
  <si>
    <t>Посадочний документ 000в42сF-1T2F-0001 від 28.07.2021 р. на суму 645,14грн.</t>
  </si>
  <si>
    <t>ПД№106 від 09.08.2021 року на суму 645,14 грн</t>
  </si>
  <si>
    <t xml:space="preserve"> Наказ № 237 Міського Палацу культури ім. Г.Хоткевича від 29.07.2021 р. Про відрядження Хрякової Г. з 04.08.2021 по 08.08.2021р для участі в книжковому фестивалі "Зелена хвиля"</t>
  </si>
  <si>
    <t>ПД№110  ВІД 11.08.2021 РОКУ НА СУМУМ 1860,49 ГРН</t>
  </si>
  <si>
    <t xml:space="preserve"> ПД№105 від 09.08.2021року на суму 1520,68грн Трофименко Т.М.</t>
  </si>
  <si>
    <t>Фізична особа Ірванець Олександр Васильович, ІПН 2230417157, паспорт серія СР №392943, виданий Рівненським МУ УМВС Українив Рівненській області 10.03.1998 року,</t>
  </si>
  <si>
    <t xml:space="preserve">Цивільно - правовий договір від 13.09.2021  року на суму 7578,64грн., в  тому разі винагорода6212грн ЕСВ 1366,64грн. Згода на обробку даних від 13.09.2021 року. картка платника податків від 06.07.2016 року. Довідка про відкритий рахунок  10.09.2021 року </t>
  </si>
  <si>
    <t>Акт приймання передачі послуг від 14.09.2021 року  за Цивільно - правовим 7578,64грн., в  тому разі винагорода 6212,00грн ЕСВ 1366,64грн.  Посадочний документ 000в42FF-BEF6-902-0001від 09/09/2021 на суму  650,43грн</t>
  </si>
  <si>
    <t>ПД№164 від 14.09.2021 року на суму 650,43грн</t>
  </si>
  <si>
    <t>Фізична особа Водяний Антон Васильович, ІПН2992111334, паспорт серія СС№433558 виданий Коломийським МВ УМВС Українги в Івано Франківській області 02.01.1998 року.</t>
  </si>
  <si>
    <t>Цивільно - правовий договір від 17.09.2021  року на суму 3107,34грн., в  тому разі винагорода 2547,00грн ЕСВ 560,34грн. Згода на обробку даних від 17.09.2021 року. картка платника податків від 26.01.1999 року. Довідка про відкритий рахунок  АТ Райфайзен банк Аваль</t>
  </si>
  <si>
    <t>Акт приймання передачі послуг від 17.09.2021 року  за Цивільно - правовим 3107,34грн., в  тому разі винагорода 2547грн ЕСВ 560,34грн.  Посадочний документ  000d42f1- CFF9-72F1-0001 від 31/08/2021  рокуна суму 694,22 грн, Посадочний документ 000и42а1-САВ9-72А9-0001 выд 31.08.2021 року на суму 694,22 грн.</t>
  </si>
  <si>
    <t>ПД№187 від 17.09.2021 року на суму 1388,44грн</t>
  </si>
  <si>
    <t>Фізична особа Дубчак Ольга Петрівна, ЫПН3065910824, паспорт серыя ОО№360353 , виданий Мінським РУ ГУ МВС України в місты Київ 10.05.2000 року</t>
  </si>
  <si>
    <t>Цивільно - правовий договір від 06.109.2021  року на суму 6290,32грн., в  тому разі винагорода 5156,00грн ЕСВ 1134,32грн. Згода на обробку даних від 05.10.2021 року. картка платника податків від 26.01.1999 року. Довідка про відкритий рахунок від 02.10.2021 року</t>
  </si>
  <si>
    <t>Акт приймання передачі послуг від 06.10.2021 року  за Цивільно - правовим 6290,32грн., в  тому разі винагорода 5156,00грн ЕСВ 1134,32грн. Посадочний документ 000и43ос-3У7У-В8Ф4-0001 выд 27.09.2021 року на суму 650,86 грн, Посадочний документ 000и4311-ВУУ5-7У7А-0001 від 02.10.2021 року на суму 747,03 грн</t>
  </si>
  <si>
    <t>Фізична особа Трофименко Тетяна Михайлівна, ІПН2873416302, паспорт Серія ММ297137 , виданий МВД Дзержинського РВХМУ УВС України в Харківській області 16.11.1999 року, Довідка про присвоення ІН від 09.08.2000р.Згода на обробку персональних даних від 05.08.2021 р</t>
  </si>
  <si>
    <t>.Цивільно правовий договір б/н від 05.10.2021 року Трофименко Тетяна Михайлівна на суму 6290,00грн, в тому разі винагорода 5156,00 грн , Есв 1134,22грн. Довідка про відкриття рахунку від 10.09.2021р.</t>
  </si>
  <si>
    <t>.Акт приймання передачі  наданих послуг від 08.08.2021року на суму 9093,88 грн. Трофименко Тетяна Михайлівна,в тому разі винагорода 7454,00 грн , Есв 1639,88 грн. Довідка про відкриття рахунку від 14.04.2021р.. Посадочний документ 000b4306-BFF7-305F-0001 від  21.09.2021 року, на суму 705,40 грн Посадочний документ 000b4308-CE79-2FBA-0001  від  23.09.2021 року, на суму 434,72 грн</t>
  </si>
  <si>
    <t>13.4.7</t>
  </si>
  <si>
    <t>13.4.8</t>
  </si>
  <si>
    <t>13.4.9</t>
  </si>
  <si>
    <t xml:space="preserve">Послуги з написання сценаріїв проведення урочистих подій </t>
  </si>
  <si>
    <t>13.4.10</t>
  </si>
  <si>
    <t>13.4.11</t>
  </si>
  <si>
    <t xml:space="preserve">Послуги артистів та музикантів для офлайн-подій фестивалю. </t>
  </si>
  <si>
    <t>13.4.12</t>
  </si>
  <si>
    <t>13.4.13</t>
  </si>
  <si>
    <t>13.4.14</t>
  </si>
  <si>
    <t xml:space="preserve">Послуги з написання сценаріїв проведення онлайн та офлайн заходів </t>
  </si>
  <si>
    <t>13.4.15</t>
  </si>
  <si>
    <t>13.4.16</t>
  </si>
  <si>
    <t>Послуги з оформлення  фотозони фестивалю "Зелена хвиля"</t>
  </si>
  <si>
    <t>Фізична особа підприємець БЄДАХА ЮЛІЯ ЮРІЇВНА0,ІПН 3008715000,Україна, 65039, Одеська обл., місто Одеса, ПРОВУЛОК 2-Й ЧЕРЕПАНОВИХ, будинок 9,Свідоцтво про державну реєстраці серія В02 №956746 від 02.03.2010  року, свідоцтво платника пединого податку від 06.05.2012 року, витяг з реестру платника единого полдатку від 11.06.2018 року, витяг з ЄДРПОУ від 29.09.2021 року.</t>
  </si>
  <si>
    <t>. Акт прийому передачі виконаних робіт б/н від 09.08.2021 року на суму 14031,00 грн.</t>
  </si>
  <si>
    <t>ПД№1008 від 09.08.2021 року на суму 14031,00грн</t>
  </si>
  <si>
    <t>13.4.17</t>
  </si>
  <si>
    <t>ПД№81 від 02.08.2021р. На суму 5500,00грн</t>
  </si>
  <si>
    <t>13.4.18</t>
  </si>
  <si>
    <t xml:space="preserve">Призи для переможців конкурсу "iParus" (брендований Power bank для переможців - 20 шт. та для членів журі - 10 шт.) </t>
  </si>
  <si>
    <t>13.4.19</t>
  </si>
  <si>
    <t xml:space="preserve">Пам'ятні відзнаки для почесних гостей фестивалю </t>
  </si>
  <si>
    <t>Рахунок на оплату № 3902 від 13.07.2021р. На суму 4286,64 ФОП Воскобойніков О.О.Рахунок на оплату № 3925 від 14.07.2021р. На суму 2416,00грн.  ФОП Воскобойніков О.О.</t>
  </si>
  <si>
    <t>Видаткова накладна № 3902 від 05.08.2021 р на суму  4286,64, Фоп Воскобойніков О.О.Видаткова накладна № 3925 від 05.08.2021 р на суму  2416, ФОП Воскобойніков О.О.</t>
  </si>
  <si>
    <t>13.4.20</t>
  </si>
  <si>
    <t>Фізична особа підприємець Мінцис Михайло Борисович ІПН 1928320134,Україна, 65016, Одеська обл., місто Одеса, вул.Каманіна, будинок 9А,</t>
  </si>
  <si>
    <t>Договір №01/08/21 від 01.08.2021 р. на суму 103860,00грн. В тому разі за рахунок СВФ 20000,000, Протокол узгодження Договірної ціни  надання послуг від 01.08.2021р.Графік фінансування послуг по об'єкту  від 01.08.2021р.</t>
  </si>
  <si>
    <t>ПД№89 від 05.08.2021р. На суму 40000,00грн.</t>
  </si>
  <si>
    <t>13.4.21</t>
  </si>
  <si>
    <t xml:space="preserve">Учасники онлайн та офлайн заходів фестивалю (дискусії, телемости, презентації, читання, перформанси тощо)
</t>
  </si>
  <si>
    <t>.Цивільно правовий договір б/н від 05.08.2021 року Трофименко Тетяна Михайлівна на суму 9093,88грн, в тому разі винагорода 7454,00 грн , Есв 1639,88 грн. Довідка про відкриття рахунку від 14.04.2021р.</t>
  </si>
  <si>
    <t xml:space="preserve">.Акт приймання передачі  наданих послуг від 08.08.2021року на суму 9093,88 грн. Трофименко Тетяна Михайлівна,в тому разі винагорода 7454,00 грн , Есв 1639,88 грн. Довідка про відкриття рахунку від 14.04.2021р.. </t>
  </si>
  <si>
    <t xml:space="preserve">ПД№102 від 09.08.2021 року на суму 111,81 грн ВЗ, ПД№101 від 09.08.2021 року на суму 1341,72 грн ПДФО, ПД №104 від 09.08.2021 року на суму 6000,47 грн. винагорода, ПД№103 від 09.08.2021 року на суму 1639,88 грн ЕСВ-  Трофименко Т.М. </t>
  </si>
  <si>
    <t>Фізична особа Матюша Павло Анатолійови, ІПН 3051722358, паспорт серія СР3631342, виданий Рівненським МВ УМВС України в Рівненській області 29.10.1999 року, довідка про відкритий рахунок в АТ Райфайзен банк Аваль б/н, Згода  на обробку персональних даних від 05.08.2021 року.Фізична особа Концевич Олена Анатоліївна, ІПН 3062204684, паспорт КВ№705666 виданий Личаківським РВ УМВС України  у Львівській області 12.06.2001 року</t>
  </si>
  <si>
    <t>Цивільно - правовий договір б/н вд 05.08.2021року на суму 13639,00грн. В тому разі винагорода 11180,20 грн, 22 %ЕСВ 2459,60 грн., .Цивільно правовий договір б/н від 05.08.2021 року Матюша Павло Анатолійович, на суму13639,80грн, в тому разі винагорода 11180,20 грн , Есв 2459,60 грн. Довідка про відкриття рахунку без дати  АТ Райфайзен банк Аваль.</t>
  </si>
  <si>
    <t>Акт  приймання передачі енаданих послуг б/н  Матюша П.А. від 07.08.2021 року на суму 13639,80грн. В тому разі винагорода 11180,20 грн.,А</t>
  </si>
  <si>
    <t xml:space="preserve">ПД№92 від 09.08.2021 на суму 167,70 грн ВЗ, ПД№91 від 09.08.2021 р на суму 2012,44 грн ПДФО, ПД№93 від 09.08.2021р на суму 2459,60 грн. ЕСВ, ПД№91 від 09.08.2021 року на суму  9000,06 грн. Матюша П.А., </t>
  </si>
  <si>
    <t>Фізична особа Концевич Олена Анатоліївна, ІПН 3062204684, паспорт КВ№705666 виданий Личаківським РВ УМВС України  у Львівській області 12.06.2001 року,</t>
  </si>
  <si>
    <t xml:space="preserve">Цивільно правовий договір б/н від 05.08.2021року на суму 18186,54грн Концевич Олена Анатоліївна , ЕСВ в тому разі 3279,54 грн.довідка про відкриття рахунку  10.08.2021р. </t>
  </si>
  <si>
    <t>кт приймання передачі  б/н від 08.08.2021року на суму 18186,54грн Концевич Олена Анатоліївна , ЕСВ в тому разі 3279,54 грн</t>
  </si>
  <si>
    <t xml:space="preserve">ПД№118 від 11.08.2021року на суму 12000,14 грн винагорода Концевич О.А.,ПД116 від 11.08.2011 року на суму 223,60 грн. ВЗ, ПД № 115 від 11.08.2021 року на суму 2683,26 грн. - Концевич О.А.  </t>
  </si>
  <si>
    <t>Цивільно правовий договір  від 05.08.2021 року  Сербін Р.В. на суму  13639,80 грн, в тому разі винагорода 11180,20 грн, есв 2459,60 грн., Згода на обробку даних від 05.08.2021року,довідка про відкриття рахунку 20.06.2002 року,</t>
  </si>
  <si>
    <t>.Акт  приймання передачі наданих послуг від 08.08.2021 року на суму 13639,80грн., Сербін Роман Віталійович, в тому разі винагорода 11180,20 грн., есв 2459,60 грн.</t>
  </si>
  <si>
    <t>ПД№112 від 11.08.2021 року на суму 167,70 грн. ВЗ, ПД№111 від 11.08.2021 року на суму  2012,44 грн ПДФО, ПД№114 від 11.08.2021 року на суму  9000,06 грн сума винагророди -Сербін Роман Віталійович,</t>
  </si>
  <si>
    <t>Фізична особа Щурова Тетяна Василівна, ІПН 1686908048, паспорт серія № КЕ 550824 , виданий Малиновським РВ УМВС України в Одеській області 14.02.1997 року.</t>
  </si>
  <si>
    <t>Цивільно павовий договір від 05.08.201 року на суму7578,64 грн., в тому разі винагорода 7578,64грн, Есв 1366,64 грн.Згода на обробку персональних даних від 05.08.2021 року, довідка за реквізитами від 18.08.2021 року.</t>
  </si>
  <si>
    <t>.Акт  приймання передачі наданих послуг від 05.08.2021 року на  суму 7578,64 грн., в тому разі винагорода 7578,64грн, Есв 1366,64 грн</t>
  </si>
  <si>
    <t>ПД№147 від 19.08.2021 року на суму 5000,68 грн винагорода, ПД№145 від 19.08.2021 р. на суму 93,18 грн ВЗ, ПД№144 від 19.08.2021 року на суму 1118,16 грн ПДФО</t>
  </si>
  <si>
    <t>Фізична особа Мельниченко Лілія Олексіївна, ІПН 2071008647, паспорт серія КЕ № 312858 , виданий Ленінським РВ УМВС України в Одеській області 10.07.1996року</t>
  </si>
  <si>
    <t>Цивільно - правовий договір від 05.08.2021 року на суму 6063,40грн., в  тому разі винагорода 4970,00грн ЕСВ 1093,40грн. Довідка про рахунки, за № 113.535-23/168 від 26.08.2021 року.</t>
  </si>
  <si>
    <t>Акт приймання передпчі послуг за Цивільно - правовим договір від 05.08.2021 року на суму 6063,40грн., в  тому разі винагорода 4970,00грн ЕСВ 1093,40грн</t>
  </si>
  <si>
    <t xml:space="preserve">ПД№168 від 09.09.2021 року на суму 74,55 грн ВЗ, ПД№169 від 09.09.2021 р. на суму 894,60 грн. ПДФО, ПД№171 від 09.09.2021 року на суму 4000,85 грн винагорода </t>
  </si>
  <si>
    <t>Фізична особа Петухов Олексій Миколайович, ІПН 2796614391,паспорт серіяКЕ №410265, виданий Київським РВ УМВС України в Одеській області 15.10.1996 року</t>
  </si>
  <si>
    <t>ПД №167 від 08.09.2021 року на суму 4000,85 грн. винагорода, ПД165 від 08.09.2021 року  на суму 74,55 грн.ВЗ, ПД№164 від 08.09.2021 року на суму 894,60 грн. ПДФО</t>
  </si>
  <si>
    <t xml:space="preserve">Акт приймання передачі послуг від 14.09.2021 року  за Цивільно - правовим 7578,64грн., в  тому разі винагорода 6212,00грн ЕСВ 1366,64грн. </t>
  </si>
  <si>
    <t>ПД№172 вд 14.09.2021 року на суму 1118,16 грн ПДФО,ПД№175 від 14.09.2021 року на суму 5000,65 винагоода, ПД№173 від 14.09.2021 року на суму 93,18 грн. ВЗ</t>
  </si>
  <si>
    <t xml:space="preserve">Акт приймання передачі послуг від 17.09.2021 року  за Цивільно - правовим 3107,34грн., в  тому разі винагорода 2547грн ЕСВ 560,34грн. </t>
  </si>
  <si>
    <t>ПД№186 від 17.09.2021 року на суму 2050,34грн винагоода, ПД№184 від 17.09.2021 року на суму 38,20 грн ВЗ, ПД№183 від 17.09.2021 року на суму 458,46 грн ПДФО</t>
  </si>
  <si>
    <t>Цивільно - правовий договір від 06.109.2021  року на суму 6290,32грн., в  тому разі винагорода 5156,00грн ЕСВ 1134,32грн. Згода на обробку даних від 05.10.2021 року. картка платника податків від 26.01.1999 року. Довідка про відкритий рахунок выд 02.10.2021 року</t>
  </si>
  <si>
    <t xml:space="preserve">Акт приймання передачі послуг від 06.10.2021 року  за Цивільно - правовим 6290,32грн., в  тому разі винагорода 5156,00грн ЕСВ 1134,32грн. </t>
  </si>
  <si>
    <t>Фізична особа Катерушин Валерій Вікторович, ІПН 3215515290, паспорт серія СЕ№690821, виданий Надвірнянським РВ УДМС України в Фванофранківській області 13.06.2014 року</t>
  </si>
  <si>
    <t>Цивільно правой договір від 09.10.2021 ррку на суму 3486 грн в тому разі винагорода 2858,00 грн, есв 628,76 грн. картка платника податків ваід 07.03.2003 року, Згода на обробку персональних даних від 09.10.2021 року, реквізити картки Приватбанк та рахунку.</t>
  </si>
  <si>
    <t>акт приймання передачі послуг від 10.10.2021 року за договором від 09.10.2021 року  на суму 3486 грн в тому разі винагорода 2858,00 грн, есв 628,76 грн.</t>
  </si>
  <si>
    <t>13.4.22</t>
  </si>
  <si>
    <t>13.4.23</t>
  </si>
  <si>
    <t>13.4.24</t>
  </si>
  <si>
    <t>УПО в Одеській області, код ЄДРПОУ 40108931, адреса: м Одеса, вул. Філатова 70-А,65007</t>
  </si>
  <si>
    <t>Договір №Б-1/14-21 від 15.07.2021 року на суму 40000,00грн Додато № 1 Дислокація Обєкта, надання послуг на якому здійснюється Батальйоном №1 УПО в Рдеській області , Додаток №2 Протокол погодження ціни послуг, акт виставлення поста поліції охорони УПО від 03.08.2021 року,Акт зняття постів поліції охорони УПО від 09.08.2021 року,, Розрахунок вартості послуг  Додат №3 до Договору від 05.08.2021 року</t>
  </si>
  <si>
    <t>Рахунок № Б-1/14-21 від  03.08.2021 року на суму 40000,00 грн. Акт прийому передачі виконаних робіт/ послуг  № ОД-0108242 від 09.08.2021 року на суму  40000,00 грн.</t>
  </si>
  <si>
    <t>ПД№83 від 03.08.2021 року на суму 40000,00 грн</t>
  </si>
  <si>
    <t>13.4.25</t>
  </si>
  <si>
    <t>Цивільно правовий договір б/н від 05.08.2021 року Володарський Юрій Алімовична суму 13639,60 грн, в тому разі винагорода 11180,20 грн , Есв 2459,60 грн. Довідка про відкриття рахунку від 06.08.2021р.</t>
  </si>
  <si>
    <t xml:space="preserve">ПД№103 від 09.08.2021 року на суму 1639,88 грн ЕСВ-  Трофименко Т.М.  </t>
  </si>
  <si>
    <t xml:space="preserve">ПД№93 від 09.08.2021р на суму 2459,60 грн. ЕСВ,  Матюша П.А. </t>
  </si>
  <si>
    <t xml:space="preserve">ПД№117 від 11.08.2021 року на суму 3279,54 грн. ЕСВ Концевич О.А. </t>
  </si>
  <si>
    <t xml:space="preserve">Фізична особа Сербін Роман Віталійович, ІПН3143421013, паспорт серія КК№ 963311 виданий Маліновським РВ  ОМУ УВМС України в Одеській області 20.06.2002 р. </t>
  </si>
  <si>
    <t xml:space="preserve">ПД№113 від 11.08.2021 року на суму 2459,60 грн Сербін Роман Віталійович, </t>
  </si>
  <si>
    <t>.Акт  приймання передачі наданих послуг від 05.08.2021 року на са суму7578,64 грн., в тому разі винагорода 7578,64грн, Есв 1366,64 грн</t>
  </si>
  <si>
    <t>ПД№146 від 19.08.2021 року на сумум 1366,64 грн Щурова Т.В.</t>
  </si>
  <si>
    <t>ПД №166 від 08.09.2021 року на суму 1093,40 ГРН.</t>
  </si>
  <si>
    <t>ПД№174 вд 14.09.2021 року на суму 1366,64 грн  Есв</t>
  </si>
  <si>
    <t>ПД№185 від 17.09.2021 року на суму 560,34</t>
  </si>
  <si>
    <t>ЗАГАЛЬНА СУМА:</t>
  </si>
  <si>
    <t>Витрати за даними звіту за рахунок співфінансування</t>
  </si>
  <si>
    <t xml:space="preserve">Матюх Оксана Володимірівна (менеджерка конкурсу iParus)
</t>
  </si>
  <si>
    <t xml:space="preserve">Бурганов Костянтин Ігорович (менеджер з організації технічного забезпечення фестивалю офлайн
</t>
  </si>
  <si>
    <t xml:space="preserve">ПД№2529 04.08.2021р. За послуги з організації заходу Укнижковий фестиваль Зелена хвиля  </t>
  </si>
  <si>
    <t xml:space="preserve"> Фізична особа підприємець КАЛІНІНА ЛЮДМИЛА АНДРІЇВНА, 65078, Одеська обл., місто Одеса, вул.Героїв Крут, будинок 13, квартира 7, код платника податків 2708901464, паспорт КЕ 737763 від 20.03.2019 року .</t>
  </si>
  <si>
    <t>ПД№2512  26.08.2021року на суму 1860,00грн</t>
  </si>
  <si>
    <t>Фізична особа підприємець Сичова Яна Сергіївна, ІПН2896712467, Овідіопольський район, с Лиманка, вул. Коралова, буд. 1, ап 18, паспор  серія ЕЛ №028180 від 12.10.1995 р.0, довідка про присвоєння ІН  від 22.07.2021р.Виписка з єдрпо 22.04.2019 р., витяг з реєстру платників ежиного податку від 09.09.2019 р.</t>
  </si>
  <si>
    <t>Акт виконаних робіт від 28.07.201р  до Контракту №11 з надання послуг графічногокомпютерного дизайну від 15.07.2021 р.  На смуму 20000,00грн</t>
  </si>
  <si>
    <t>Фізична особа підприємець ТРОФІМОВ ЯРОСЛАВ ІГОРОВИЧ, КОД ІПН 302081802,Україна, 65043, Одеська обл., місто Одеса, ВУЛ. ВАРНЕНСЬКА, будинок 7, корпус Б, квартира 76</t>
  </si>
  <si>
    <t>Акт приймання передачі наданих послуг до Догвору №01/09 від 01.09.2021 р. б/н від 29.10.2021 року на суму 12630,00грн</t>
  </si>
  <si>
    <t>ПД№249 від 13.10.2021 року на суму 12630,00грн.</t>
  </si>
  <si>
    <t>Довідка про взяття на облік від 18.11.2011 №2452, виписка з ЄДР серія ААВ №267378 від17.11.2011, Рахунок  фактура № 33 від 14.07.2021 р. на суму 21500,00грн(з них 3000,00грн за рахунко УКФ)</t>
  </si>
  <si>
    <t>Фізична особа підприємець 
КОЛЕСНІЧЕНКО ЛАРИСА ВОЛОДИМИРІВНА, код ІПН 1915718843,Україна, 65012, Одеська обл., місто Одеса, ВУЛИЦЯ БАЗАРНА, будинок 50, квартира 17;</t>
  </si>
  <si>
    <t xml:space="preserve">Акт №1 від 15.08.2021 року на суму 29000,00 грн. Акт надання послуг ;4 від 25.10.2021р. На суму 29000,00грн СПД Пронькіна Н.Б.Акт </t>
  </si>
  <si>
    <t xml:space="preserve">ПД№250 від 13.10.2021 року н а суму 12630,00грн. </t>
  </si>
  <si>
    <t>ФОП КЛИЧЕВ МАРАТ БАТЕРГЕЛЬДИЙОВИЧ, Код ІПН 2837800754,Україна, місто Одеса вул Академіка Філатова,будинок 47/3 кв.</t>
  </si>
  <si>
    <t xml:space="preserve">ПД №87 від 04.08.2021 на суму 20400,00грн. ФОП БАРДУС С.М.  </t>
  </si>
  <si>
    <t>Рахунок № 28 від 04.08.2021 року на суму 35000,00грн в томуразі 20400,00грн за рахунок УКФІ, 14600,00грн за рахунок СФН</t>
  </si>
  <si>
    <t>Договір №46/21 від 29.07.2021 р. Рахунок на оплату № 188 від 29.07.2021р. На суму 5500,00</t>
  </si>
  <si>
    <t>акт приймання передачі послуг від 25.10.2021 року за договором від 05.10.2021 року  на суму 15156,00грн в тому разі винагорода 12423,00 грн, есв 2733,06 грн.</t>
  </si>
  <si>
    <t>Фізична особа Гусайлов Володимир Ігорович ,ІПН 3097718913, паспорт серія КК №602029, виданий Комінтернівським РВ УМВС України в Одеській області 04.01.2001 року</t>
  </si>
  <si>
    <t>Цивівльно правоий договір від 16.10.2021 року на суму 6063,40грн в тому разі винагорода 4970,00грн ЕСВ 1093,40грн.реквізити картки МОНОБАНК та рахунку від 05.08.2021 року</t>
  </si>
  <si>
    <t>акт приймання передачі послуг від 16.10.2021 року за договором від 16.10.2021 року   на суму 6063,40грн в тому разі винагорода 4970,00грн ЕСВ 1093,40грн.</t>
  </si>
  <si>
    <t>Фізична особа Капітонов Роман Анатолійович ,ІПН 3333913030, паспорт серія КМ №865091, виданий Ізмаїльським  РВ УМВС України в Одеській області 29.10.2013 року</t>
  </si>
  <si>
    <t>Цивівльно правоий договір від 16.10.2021 року на суму 1516,46грн в тому разі винагорода 1243,00грн ЕСВ 276,46грн.реквізити картки МОНОБАНК на  рахунку від 16.10.2021 року, Згода на обробку персональних даних від 16.10.2021 року</t>
  </si>
  <si>
    <t>акт приймання передачі послуг від 16.10.2021 року за договором від 16.10.2021 року   на суму 1516,460грн в тому разі винагорода 1243,00грн ЕСВ 1276,46грн.</t>
  </si>
  <si>
    <t>Фізична особа Погожа Поліна Валентинівна, код ІПД 3560705946,паспорт серія КМ №848034, виданий Суворовським РВ УМВС України в Одеській області 10.07.2013 року, Згода на обробку персональних даних від 16.10.2021 р.</t>
  </si>
  <si>
    <t>Цивівльно правоий договір від 16.10.2021 року на суму 2277,00грн в тому разі винагорода1864,00грн ЕСВ 410,08грн.реквізити картки МОНОБАНК на  рахунку від 15.10.2021 року, у</t>
  </si>
  <si>
    <t>акт приймання передачі послуг від 16.10.2021 року за договором від 16.10.2021 року   на суму 2277,00грн в тому разі винагорода1864,00грн ЕСВ 410,08грн</t>
  </si>
  <si>
    <t>ПД№259  від 18.10.2021року ВЗ на суму 18,64 грн, ПД№258 від 18.10.2021 року ПДФ на суму 223,73грн., ПД№261 від 18.10.2021 року винагорода на суму 1000,62 грнПД 260 від 18.10.2021 року  ЕСВ на суму 273,46грн</t>
  </si>
  <si>
    <t>ПД№255  від 18.10.2021року ВЗ на суму 27,96 грн, ПД№254 від 18.10.2021 року ПДФ на суму 335,52грн., ПД№257 від 18.10.2021 року винагорода на суму 1500,52 грнПД №256 від 18.10.2021 року  ЕСВ на суму 410,08грн</t>
  </si>
  <si>
    <t>Фізична особа Перфілієва Олена Геннадієвна, код ІПД 2579118973,паспорт серія КК №514561, виданий Жовтневим ОМУ УМВС України в Одеській області 21.09.2000 року, Згода на обробку персональних даних від 16.10.2021 р.</t>
  </si>
  <si>
    <t>акт приймання передачі послуг від 16.10.2021 року за договором від 16.10.2021 року  на суму 3789,32грн в тому разі винагорода3106,00грн ЕСВ 683,32грн.</t>
  </si>
  <si>
    <t>Цивівльно правоий договір від 16.10.2021 року на суму 3789,32грн в тому разі винагорода 3106,00грн ЕСВ 683,32грн.</t>
  </si>
  <si>
    <t>Фізична особа Маносова Аліна Ігорівна, код ІПД 3190307366,паспорт серія КМ №221368, виданий Ізмаїльським МВУМВС України в Одеській області 12.05.2004 року, Згода на обробку персональних даних від 16.10.2021 р.</t>
  </si>
  <si>
    <t>Цивівльно правоий договір від 16.10.2021 року на суму 20460,62грн в тому разі винагорода16771,00грн ЕСВ 3689,62грн.</t>
  </si>
  <si>
    <t>акт приймання передачі послуг від 16.10.2021 року за договором від 16.10.2021 року на суму 20460,62грн в тому разі винагорода16771,00грн ЕСВ 3689,62грн.</t>
  </si>
  <si>
    <t>Цивівльно правоий договір від 05.08.2021 року на суму 15156,06грн в тому разі винагорода12423,00грн ЕСВ 2733,06грн.</t>
  </si>
  <si>
    <t>акт приймання передачі послуг від 08.08.2021 року за договором від 05.08.2021 року на суму 15156,06грн в тому разі винагорода12423,00грн ЕСВ 2733,06грн.</t>
  </si>
  <si>
    <t>Безікович Галина Анатоліївна, ФО, ІПН 1934516561, м.Одеса, вул.Тіниста б.9/12 кв.217, Згода на обробку персональних даних від 01.07.2021 р. Паспорт Серія КЕ№809301 виданий Київським РВ УМВС України в Одеській області 22.09.1997 року.Витяг з державного реєстру майнових прав на нерухоме майно №20982023 від 25.04.2014р. , розташоване за адресою:65044, м Одеса вул Пироговська, будинок 3, офіс 83, Договір дарування №891 від 25.04.2014 р.</t>
  </si>
  <si>
    <t xml:space="preserve">Договір 7/1 оренди приміщення від 01.07.2021року.  Акт прийому передачі нежитлового приміщення за Договором оренди №7/1 від 01.07.2021 р від 15.07.2021р.  Акт прийому передачі нежитлового приміщення за Договором оренди №7/1 від 01.07.2021 р від 31.10.2021р. </t>
  </si>
  <si>
    <t>КОМУНАЛЬНЕ ПІДРИЄМСТВО "ПАРКИ ОДЕСИ"  КОД ЄДРПОУ 37947061, 
Україна, 65014, Одеська обл., місто Одеса, ВУЛИЦЯ МАРАЗЛІЇВСЬКА, будинок 1</t>
  </si>
  <si>
    <t>Акт надання послуг №328 від 05.08.2021 рокус на суму 12000,00грн</t>
  </si>
  <si>
    <t>фізична особа підприємець КЛИЧЄВ МАРАТ БАТИРГЕЛЬДИЙОВИЧ, 65074, Одеська обл., місто Одеса, ВУЛ. АКАДЕМІКА ФІЛАТОВА, будинок 47, корпус 3, квартира 31, паспорт ІД 005820248, дата видачі 05.08.2021року орган що видав 5114,Згода на обробку персональних даних від 05.08.2021року</t>
  </si>
  <si>
    <t>фізична особа підприємець  
КАСЬЯНОВ ВОЛОДИМИР ІВАНОВИЧ, іпн 2474111276, 65080, Одеська обл., місто Одеса, ВАРНЕНСЬКА, будинок 5, корпус 3, квартира 9, Згода на обробку персональних даних від 156.07.2021 року.Виписказ ЄДРПО ВІД 27.08.2019Р.Паспорт серія№КМ808145 від 14.10.2012 рокувиданий Київським РВ у м. ОдесіГУДМС України в Одеській області.</t>
  </si>
  <si>
    <t>ПД№67 від 28.08.2021р на суму  18000,00 грн. ПД№ 195 від 30.09.2021 року на суму 9000,00грн за вересень 2021 року, ПД№272 від 25.10.2021 року на суму 9000,00грн за жовтень 2021 року</t>
  </si>
  <si>
    <t>Видаткова накладна №7242 від 28.07.2021р на суму 28818,00грн.</t>
  </si>
  <si>
    <t>ПД№2506 від 20.07.2021 р. на суму 28818,00 грн.в  тому разі сумки 17588,00грн футболка 11250,00грн</t>
  </si>
  <si>
    <t xml:space="preserve">ПД№236 від 08.10.2021 року на суму 24500,00грн в тому разі Друк банеру без люверсів 2х2.5 + каркас-4000,00грн,Друк банеру без люверсів 12х0.5 -2500,00грн, Друк банеру 6х3+ деревяний каркас -6000,00грн , Друк банеру без люверсів 3х2.5 + каркас замість нього Друк банеру1,5*3 + деревяний каркас (оформлення головної сцени- 6000,00 грн </t>
  </si>
  <si>
    <t xml:space="preserve"> .Акт пиймання передачі  робіт № 19_2  до Догоовру №19/07-Д від 19.07.2021 року  від 10.08.2021р. На суму 24500,00грн. АКТ на списання №2 від 05.08.2021 року на суму 24500,00 грн.</t>
  </si>
  <si>
    <t>Акт пиймання передачі  робіт № 19_1  до Догоовру №19/07-Д від 19.07.2021 року  від 10.08.2021р. На суму 27600,00грн. В тому разі Друк банеру 2х3+ деревяний каркас ( програма фестивалю-10400,00грн,Друк банеру 6х4 + металева конструкція (задник для фотозони "Зелена хвиля "-  12000,00грн, Друк банеру 2,5*5 + деревяний каркас (задник для фотозони "I Parus"" 4000,00 грн,Друк банеру 0,86*80 та 0,79*0,80 (оформлення фнвормаційної стійки фестивалю 1200,00грн),</t>
  </si>
  <si>
    <t>ПД№220 від 30.09.2021 року на суму 27600,00грн в тому разі Друк банеру 2х3+ деревяний каркас ( програма фестивалю-10400,00грн,Друк банеру 6х4 + металева конструкція (задник для фотозони "Зелена хвиля "-  12000,00грн, Друк банеру 2,5*5 + деревяний каркас (задник для фотозони "I Parus"" 4000,00 грн,Друк банеру 0,86*80 та 0,79*0,80 (оформлення фнвормаційної стійки фестивалю 1200,00грн),</t>
  </si>
  <si>
    <t>,Акт пиймання передачі  робіт № 19_1  до Догоовру №19/07-Д від 19.07.2021 року  від 10.08.2021р. На суму 27600,00грн. В тому разі Друк банеру 2х3+ деревяний каркас ( програма фестивалю-10400,00грн,Друк банеру 6х4 + металева конструкція (задник для фотозони "Зелена хвиля "-замість нього - Друк банеру для фестивалю "Зелена хвиля", без люверсів 6х3 + каркас  12000,00грн, Друк банеру 2,5*5 + деревяний каркас (задник для фотозони "I Parus"" 4000,00 грн,Друк банеру 0,86*80 та 0,79*0,80 (оформлення фнвормаційної стійки фестивалю 1200,00грн),</t>
  </si>
  <si>
    <t>, Акт надання послуг №19 від 19.08.2021 року на суму 8000,00грн</t>
  </si>
  <si>
    <t>Рахунок на плату № 20 від 19.08.2021р на суму 8000,00грн</t>
  </si>
  <si>
    <t>ПД№247 від 13 жовтня 2021 року на суму 81000,00грн</t>
  </si>
  <si>
    <t>Звіт про надходження та використання коштів для реалізації проекту</t>
  </si>
  <si>
    <t>Розділ:
Стаття: 
Підстаття:
Пункт:</t>
  </si>
  <si>
    <t>Витрати за рахунок  реінвестиції</t>
  </si>
  <si>
    <t xml:space="preserve">Загальна  сума витрат по проекту, грн. </t>
  </si>
  <si>
    <t>Примітки</t>
  </si>
  <si>
    <t>Фактичні витрати відповідно до заявки</t>
  </si>
  <si>
    <t>планова, грн. (=7+13+19)</t>
  </si>
  <si>
    <t>фактична, грн. (=10+16+22)</t>
  </si>
  <si>
    <t>різниця</t>
  </si>
  <si>
    <t>Кількість/
Період</t>
  </si>
  <si>
    <t>Загальна сума, грн. (11*12)</t>
  </si>
  <si>
    <t>Загальна сума, грн. (=14*15)</t>
  </si>
  <si>
    <t>Загальна сума, грн. (=17*18)</t>
  </si>
  <si>
    <t>Загальна сума, грн. (=20*21)</t>
  </si>
  <si>
    <t xml:space="preserve">грн. </t>
  </si>
  <si>
    <t>Розділ ІІ:</t>
  </si>
  <si>
    <t xml:space="preserve">Винагорода членам команди проєкту </t>
  </si>
  <si>
    <t>1.1.2</t>
  </si>
  <si>
    <t xml:space="preserve"> Повне ПІБ, посада (роль у проєкті)</t>
  </si>
  <si>
    <t>1.1.3</t>
  </si>
  <si>
    <t>1.2.2</t>
  </si>
  <si>
    <t>1.2.3</t>
  </si>
  <si>
    <t>1.5</t>
  </si>
  <si>
    <t xml:space="preserve">Всього по статті 1 "Винагорода членам команди": </t>
  </si>
  <si>
    <t>3.1.1</t>
  </si>
  <si>
    <t>Найменування обладнання (з деталізацією технічних характеристик)</t>
  </si>
  <si>
    <t>3.1.2</t>
  </si>
  <si>
    <t>3.1.3</t>
  </si>
  <si>
    <t>Найменування інвентаря (з деталізацією технічних характеристик)</t>
  </si>
  <si>
    <t>3.2</t>
  </si>
  <si>
    <t>3.2.1</t>
  </si>
  <si>
    <t>Програмне забезпечення  (з деталізацією технічних характеристик)</t>
  </si>
  <si>
    <t>3.2.2</t>
  </si>
  <si>
    <t>кв.м (годин, діб)</t>
  </si>
  <si>
    <t>4.1.3</t>
  </si>
  <si>
    <t>Адреса орендованого приміщення, із зазначенням метражу, годин оренди</t>
  </si>
  <si>
    <t>Короткострокова оренда локації парку ім.Т.Г.Шевченка для розміщення офлайн експозиції фестивалю з 2 по 10 серпня, 6000 м.кв.</t>
  </si>
  <si>
    <t>Оренда арочного намету 10х20 м. для розміщення фестивального центру, головної сцени офлайн програми проєкту. З 4 по 8 серпня.</t>
  </si>
  <si>
    <t xml:space="preserve">шт. </t>
  </si>
  <si>
    <t>4.2.2</t>
  </si>
  <si>
    <t>4.2.3</t>
  </si>
  <si>
    <t>4.2.4</t>
  </si>
  <si>
    <t>км (годин)</t>
  </si>
  <si>
    <t xml:space="preserve">Оренда автобуса для трансферу артистів ювілейного концерту (із зазначенням маршруту, кілометражу/кількості годин) </t>
  </si>
  <si>
    <t xml:space="preserve">Витрати учасників проєкту, які беруть участь у заходах проєкту та не отримують оплату праці та/або винагороду </t>
  </si>
  <si>
    <t>6.2.2</t>
  </si>
  <si>
    <t>6.2.3</t>
  </si>
  <si>
    <t>6.3.3</t>
  </si>
  <si>
    <t>Друк буклету з програмою фестивалю (300х210, 4+4, меловка 130 гр. 2 фальци</t>
  </si>
  <si>
    <t xml:space="preserve">Друк журналів </t>
  </si>
  <si>
    <t>8.6</t>
  </si>
  <si>
    <t>Всього по статті  9 "Послуги з просування":</t>
  </si>
  <si>
    <t xml:space="preserve">Витрати з обслуговування сайту </t>
  </si>
  <si>
    <t xml:space="preserve">Найменування методичних, навчальних, інформаційних матеріалів </t>
  </si>
  <si>
    <t>Редагування письмового перекладу</t>
  </si>
  <si>
    <t>13.1</t>
  </si>
  <si>
    <t>13.2.2</t>
  </si>
  <si>
    <t>13.2.3</t>
  </si>
  <si>
    <t xml:space="preserve">Послуга з розробки візуальної концепції 25-го ювілейного фестивалю «Зелена хвиля» </t>
  </si>
  <si>
    <t xml:space="preserve">Учасники онлайн та офлайн заходів фестивалю (дискусії, телемости, презентації, читання, перформанси тощо) </t>
  </si>
  <si>
    <t xml:space="preserve">Всього по розділу ІІ "Витрати": </t>
  </si>
  <si>
    <t>Договір суборенди№04/08-2021Л від 04.08.021 р. . Документ приймання передачі приміщення до Договору Субоенди від 04/08-2021Л від 04.08.2021 року на суму 25000,00грн від 04.08.2021 року, .Актприймання передачі приміщення до Договору Субоенди від 04/08-2021Л від 04.08.2021 року на суму 25000,00грн від 29.10.2021 року, .</t>
  </si>
  <si>
    <t>ТОВАРИСТВО З ОБМЕЖЕНОЮ ВІДПОВІДАЛЬНІСТЮ "Л.А.Р.К.",Україна, 01601, місто Київ, ВУЛИЦЯ ГОСПІТАЛЬНА, будинок 12 Витяг з ЄДРОПУ , витяг з реєстру платників податку на додану вартість від 06.03.2019 року, Виписка з ЄДР від 23.04.2021 року.</t>
  </si>
  <si>
    <t>Акт  приймання передачі послуг з оренди  студії від 29.10.2021 року на суму 50400,00 грн</t>
  </si>
  <si>
    <t xml:space="preserve">Акт  приймання передачі наданих послуг  б/н від 17 серпня 2021 на суму 15000,00 грн дохід + 22%ЕСВ-3300,00 грн, ПДФО-2700,00 грн,ВЗ 225,00 грн.До сплати-12075,00грн. приймання передачі наданих послуг  б/н  від 30 вересня 2021 на суму- 8000,00 грн.дохід + 22%ЄСВ 1760,00 грн., ПДФО-1440,00 грн,ВЗ- 120,00 грн. До сплати- 6440,00грн. приймання передачі наданих послуг  б/н  від 29 жовтня 2021р.,на суму- 7000,00 грн.дохід +ЄСВ 22%-1540,00 грн., ПДФО-1260,00 грн., ВЗ-105,00 грн., до виплати - 5635,00 грн. </t>
  </si>
  <si>
    <t>Акт приймання наданих послуг  від 17.08.2021р., на суму 12000,00+ 22% ЄСВ-2640,00, ПДФО-216,00, ВЗ-180,00 до виплати 9660,00, Акт приймання наданих послуг від 17.09.2021р., на суму 6000,00+22% ЄСВ-1320,00, ПДФО-1080,00, ВЗ-90,00, до виплати 4830,00 грн.</t>
  </si>
  <si>
    <t>ПД № 137 ПДФО 2160,00, ПД№ 138 ВЗ-180,00, ПД№ 139 ЄСВ-2640,00 від 19.08.2021р., ПД № 177 ПДФО-1080,00 грн., ПД№ 178 ВЗ-90,00, ПД№ 179 ЄЄСВ-1320,00, від 17.09.2021р., ВКО № 16 від 19.08.21р., -9660,00 грн., ВКО № 25 від 17.09.2021р., -4830,00грн</t>
  </si>
  <si>
    <t xml:space="preserve">Договір ЦПХ № 2ДТ від 15.07.2021р. Сума договору-30000,00 грн, +22% ЄСВ- 6600,00 грн. Згода на обробку персональних даних від 15.07.2021р. 
</t>
  </si>
  <si>
    <t xml:space="preserve">Договір ЦПХ № 3МО  від 15.07.2021р. Сума договору-18000,00 грн, +22% ЄСВ- 3960,00 грн. Згода на обробку персональних даних від 15.07.2021р., 
</t>
  </si>
  <si>
    <t xml:space="preserve">Цивільно правовий договір № 4ТО від 15.07.2021р. Сума договору-26000грн винагорода +22% ЕСВ 5720 грн. Згода на обробку персональних даних від 15.07.2021р. </t>
  </si>
  <si>
    <t>ПД№140 19.08.2021 ПДФО 2520 грн, ПД141 19.08.2021 р ВЗ 210 грн., ,ПД142 19.08.2021р ЕСВ 3080 грн.  ПД№213 30.09.2021р ЕСВ 1540грн,ПД211 30.09.2021р ПДФО 1260,00 грн. , ПД №212 30.09.2021р ВЗ 105грн., ПД№ 296 ЄСВ-1100,00, ПД№ 295 ВЗ-75,00, ПД№ 294ПДФО-900,00 від 05.11.2021р.. ВКО № 17 від 19.08.21р., -11270,00, ВКО № 35 від 30.09.21р., -5635,00, ВКО№ 50 від 05.11.21р., - 4025,00</t>
  </si>
  <si>
    <t>ПД№217 30.09.2021рПДФО 900грн.,ПД№218 30.09.2021р. ВЗ 75грн, ПД№219 30.09.2021р. ЕСВ 1100,00грн, ПД № 297 ПДФО-720,00, ПД№ 298 ВЗ-60,00, ПД№ 299 ЄСВ-880,00, від 05.11.202р., ВКО № 37 від 30.09.21р., -4025,00, ВКО№ 51 від 05.11.21р. на суму-3220,00</t>
  </si>
  <si>
    <t xml:space="preserve">акт  приймання передачі виконаних робіт б/н від 18.08. 2021р. на суму14000грн винагорода+ 22%ЕСВ 3080грн ПДФО-2520грн ,ВЗ210,00грн. До сплати 11270грн.                       акт  приймання передачі виконаних робіт б/н від 30.09. 2021р. на суму 9760,00грн винагорода 8000,00+ 22%ЕСВ 1760,00 в т.р. грн ПДФО-1440,00грн,ВЗ 120,00грн.     акт  приймання передачі виконаних робіт б/н від 29.10. 2021р. на суму 7320,00грн винагорода6000,00+ 22%ЕСВ 1320,00 в т.р. грн ПДФО-1080,00грн,ВЗ 90,00грн. </t>
  </si>
  <si>
    <t>ПД№151 20.08.2021р. ПДФО 2520грн, ПД№152 20.08.2021р. 210грн.,ПД№153 20.08.2021р. ЕСВ 3080 грн., ПД№214 30.09.2021 р. ПДФО-1440,00грн,ПД 215 від 30.09.2021 р. ВЗ-120,00грн. ПД№ 216 30.09.2021 р ЕСВ-1760,00грн. ПД№301 від 05.11.2021 р ВЗ-90,00грн, ПД№300 від 05.11.2021 р ПДФО-1080,00 грн., ПД №302 від 05.11.2021 р. ЕСВ - 1320,00грн. ВКО№19 від 20.08.2021 р на суму 11270,00грн, ВКО №36 від 30.06.2021 р. на суму 6400,00 грн., ВКО№52 вд 05.11.2021 року на суму4830,00грн.</t>
  </si>
  <si>
    <t xml:space="preserve">Цивільно правовий договір № 7БВ від 15.07.2021р. Сума договору-28000грн винагорода +22% ЕСВ 6160 грн. Згода на обробку персональних даних від 15.07.2021р. </t>
  </si>
  <si>
    <t xml:space="preserve">Цивільно правовий договір № 6ЯО від 15.07.2021р. Сума договору-9000грн винагорода +22% ЕСВ 1980 грн. Згода на обробку персональних даних від 15.07.2021р. </t>
  </si>
  <si>
    <t xml:space="preserve">Цивільно правовий договір № 8РЮ від 15.07.2021р. Сума договору-28000грн винагорода +22% ЕСВ 6160 грн. Згода на обробку персональних даних від 15.07.2021р. </t>
  </si>
  <si>
    <t xml:space="preserve">Цивільно правовий договір № 9КО від 15.07.2021р. Сума договору-15000грн винагорода +22% ЕСВ 3300 грн. Згода на обробку персональних даних від 15.07.2021р. </t>
  </si>
  <si>
    <t>акт  приймання передачі виконаних робіт б/н від 18.08. 2021р. на суму 10000грн винагорода+ 22%ЕСВ2200,00грн ПДФО-1800грн,ВЗ 150грн. До сплати8050,00грн.,акт  приймання передачі виконаних робіт б/н від 30.09. 2021р. на суму 5000,00грн винагорода+ 22%ЕСВ1100,00грн ПДФО-900,00грн,ВЗ 75,00грн. До сплати 4025,00,00грн</t>
  </si>
  <si>
    <t>ПД№154 20.08.2021р ПДФО 1800,00грн,ПД№155 20.08.2021р ІВЗ 150,00гн. ПД№156 20.08.2021р ЕСВ 2200,00грнПД№201 від 30.09.2021 року ЕСВ -1100,00гн, ПД№199 від 30.09.2021 р. ПДФО-900,00 грн.,ПД№200 від 30.09.2021 р. ВЗ-75,00грн.,ВКО№20 від 20.08.2021 р. на суму 8050,00 грн.,ВКО№31 від 30.09.2021 р. на суму 4025,00грн</t>
  </si>
  <si>
    <t>ПД№125 17.08.2021 р 2733,06грн.,ПД№190 23.09.2021р 1666,94 грн.,ПД№302 05.11.2021 р 1320,00грн.,ПД№216 30.09.2021 р 1760,00грн.,ПД№153 20.08.2021 р. 3080,00грн.,ПД№299 05.11.2021р 880,00грн.,ПД№219 30.09.2021р 1100,00грн.,ПД№150 20.08.2021 р 3080,00грн.,ПД№204 30.09.2021 р 1540,00грн.,ПД№213 30.09.2021 р. 1540,00 грн.,ПД№296 05.11.2021 р 1100,00грн.,ПД№142 19.08.2021 р 3080,00грн.,ПД№179 17.09.2021 р 1320,00грн., ПД№139 19.08.2021р 2640,00 грн.,ПД№136 19.08.201р 3300,00грн.,ПД№210 30.09.2021р 1760,00грн.,ПД№293 05.11.2021 р 1540,00грн.,ПД№133 19.08.2021 р 3520,00грн.,ПД№207 30.09.2021 р 1760,00 грн.,ПД№290 05.11.2021 р. 1760,00 грн.,ПД№201 30.09.2021 р 1100,00грн.,ПД№156 20.08.2021 р 2200,00грн..</t>
  </si>
  <si>
    <t>Прядун Наталія Михайлівна ІНН 2856712028,  м.Одеса , вул.Добровольського,буд.150,кв.135 паспорт серія КК № 470787 від 22.05.2000р., виданий Суворвським РВ УМВС України в Одеській області,.ШР від 15.07.2021 р.Табель обліку робочого часу за липень, серпень,вересень,жовтень 2021 року.Посадова інструкція менеджера з реклами.Повідомлення про прийняття на роботу від 27.07.2021р. Об'єднанна звітність за 3 квартал 2021р. Посадова інструкція,Згода на обробку персональних даних від 15.07.2021р.</t>
  </si>
  <si>
    <t>ПД №78 ПДФО за 2 п/ липня -1930грн., ПД №79 ВЗ за 2 п/липня -161,00грн.від 30.07.2021р,ПД №130 -ЕСВза 1/п серпня-2222грн, ПД№129 ВЗ за 1/п серпня -151,50грн. ПД №128 ПДФО за 1/п серпня-1818,00грн.від 19.08.2021р, ПД№159 ВЗ-151,50, за 2/п серпня, ПД№ 160 ПДФО за 2/п серпня -1818 грн., ПД№161 ЄСВ за 2/п серпня 2222,00 від 31.08.2021р.,ПД № 181 ВЗ-151,50 за 1/п вересня, ПД№180 ПДФО -1818,00 за 1п/вересня, ПД№ 182 -2222,00 ЄСВ за 1 п/вересня від 17.09.2021р., ПД № 197  ВЗ-151,50 за 2/п вересня, ДП № 196 ПДФО-1818,00 за 2п/вересня, ПД№198  -2222,00 ЄСВ за 2 п/вересня від 30.09.2021р., ПД № 251 ПДФО-1818,00 за 1 п/жовтня, ПД№252-151,50 ВЗ за 1 п/жовтня, ПД № 253 -2222,00 ЄСВ за 1п/жовтня від 18.10.2021р.,ПД № 275 -1818,00 ПДФО за 2п/жовтня, ПД№ 276 - 151,50 , ВЗ за 2 п/жовтня, ПД№ 277 -2222,00 ЄСВ за 2 п/жовтня від 29.10.2021р   ПД№ 285 -1706,40 ПДФО за 2п/жовтня, ПД№ 286-152,60- ВЗ за 2п/жовтня, ПД№ 287-2085,60 ЄСВ за 2 п/жовтня від 05.11.2021р, ПД№128 19.08.2021 р. еПДФО 1818,00 грн..           ВКО № 47 від 05.11.2021р., - 7621,00 з/плата за 2 п/жовтня 2021р.     .ВКО№10 від 30.07.2021-8629,00 з/п за 2п/липня, ВКО№ 13 від 19.08.21р -10100,00 з/п за 1 п/серпня, ВКО №23 від 31.08.21р.-6161,00 з/п за 2 п/серпня, ВКО №24 від 17.09.21р -10100,00 з/п за 1 п/вересня, ВКО № 30 від 30.09.21р., -6161,00 з/п за 2 п/вересня, ВКО №38 від 18.10.21р, -10100,00 з/п за 1 п/жовтня,ВКО № 43 від 29.10.21р., -6161,00 з/п за 2/п жовтня,ВКО № 47 від 05.11.21р., -7621,00 з/п за 2/п жовтня</t>
  </si>
  <si>
    <t>трудовий договір №1 від 15.07.2021 року. ,наказ(розпорядження) №07/01-к від 15.07.2021р.(прийнята на роботу з 15.07.2021р..Штатний розклад від 15.07.2021 р. Повідомлення про прийняття на роботу від 27.07.2021р.Об'єднанна звітність за 3 квартал 2021р.</t>
  </si>
  <si>
    <t>трудовий договір № 2 від 15.07.2021 року. Згода на обробку персональних даних від 24.06.2021р,наказ(розпорядження) №07/02-к від 15.07.2021р.(прийнята на роботу з 15.07.2021р. По 31.10.2021 р.Штатний розклад від 15.07.2021 р. Повідомлення про прийняття на роботу від 27.07.2021р.Об'єднанна звітність за 3 квартал 2021р.</t>
  </si>
  <si>
    <t>наказ № 07/03-к від 15.07.2021р. Доплата в розмірі 6500 за розширення зониПосадова інстркуція, ШР від 15.07.2021 р.Табель обліку робочого часу за липень, серпень,вересень,жовтень 2021 року, РПВ за липень, серпень, вересень, жовтень 2021р.</t>
  </si>
  <si>
    <t>Щабельська Тетяна Петрiвна , ІПН 2510407189, м.Одеса вул.Люстдорфська дорога, буд.155,кв. 97. ,паспорт серія КМ866495, виданий 05.11.2013р. Київським РВ у м Одеса ГУДМС,копія ІПН, згода на обробку даних від 24.06.2021р.</t>
  </si>
  <si>
    <t xml:space="preserve">Розрахункова відомість б/н за липень 2021 року ,Розрахункова відомість б/н за  серпень 2021 року ,Розрахункова відомість б/н за вересень2021 року ,Розрахункова відомість б/н за жовтень  2021 року ,Розрахункова відомість б/н за жовтень  2021 року ,обєдана звітність за 3квартал, ,повідомлення про прийняття на роботу,  штатний розклад  від 15.07.2021 рокуу , табель обліку робочого часу за липень -жовтень 2021 р  </t>
  </si>
  <si>
    <t>Розрахункова відомість б/н за липень 2021 року ,Розрахункова відомість б/н за  серпень 2021 року ,Розрахункова відомість б/н за вересень2021 року ,Розрахункова відомість б/н за жовтень  2021 року ,Розрахункова відомість б/н за жовтень  2021 року ,обєдана звітність за 3квартал, ,повідомлення про прийняття на роботу,  штатний розклад  від 15.07.2021 рокуу , табель обліку робочого часу за липень -жовтень 2021 р  у.</t>
  </si>
  <si>
    <t>ПД № 80 від 30.07.21р.-2358,40 ЄСВ за 2п/липня, ПД №130 від 19.08.21р.- 2222,00 ЄСВ за 1п/серпня, ПД№ 161 від 31.08.21р.-2222,00-ЄСВ за 2 п/серпня,  ПД№ 182 від 17.09.21р- 2222,00 -ЄСВ за 1 п/вересня, ПД№ 198 від 30.09.21р-2222,00 -ЄСВ за 2п/вересня,  ПД№ 253 від 18.10.21р.,-2222,00 ЄСВ за 1 п/жовтня, ПД№ 277 від 29.10.21р., -2222,00 -ЄСВ за 2 п/жовтня, ПД№287 05.11.2021 р -2085,60 грн.</t>
  </si>
  <si>
    <t xml:space="preserve">Акт приймання передачі послуг за Цивільно - правовим догоором  від __08.09.2021  року на суму 6063,40грн., в  тому разі винагорода 4970,00грн ЕСВ 1093,40грн. </t>
  </si>
  <si>
    <t xml:space="preserve">Цивільно - правовий договір від 07.09.2021 року на суму 6063,40грн., в  тому разі винагорода 4970,00грн ЕСВ 1093,40грн. Згода на обробку даних від 07.09.2021 року Довідка про рахунки, за № 113.535-23/168 від 26.08.2021 року. Довідка про відкритий рахунок від 06.09.2021 року </t>
  </si>
  <si>
    <t>Фізична особа Дубчак Ольга Петрывна, ІПН3065910824, паспорт серыя ОО№360353 , виданий Мінським РУ ГУ МВС України в місты Київ 10.05.2000 року</t>
  </si>
  <si>
    <t>ПД№231 06.10.2021 винагорода 4150,58 грн.,ПД№229 06.10.2021 р. ВЗ 77,34 грн.,ПД№228 06.10.2021 р ПДФО 928,08 грн.</t>
  </si>
  <si>
    <t>.Акт приймання передачі  наданих послуг від 06.08.2021року на суму 6290,32 грн. Трофименко Тетяна Михайлівна,в тому разі винагорода 5156,00 грн , Есв 1134,32 грн.</t>
  </si>
  <si>
    <t xml:space="preserve">.Цивільно правовий договір б/н від 05.10.2021 року Трофименко Тетяна Михайлівна на суму 6290,00грн, в тому разі винагорода 5156,00 грн , Есв 1134,22грн. Довідка про відкриття рахунку від 10.09.2021р. Довідка про відкриття рахунку від 14.04.2021р.. </t>
  </si>
  <si>
    <t>ПД№224 06.10.2021  ВЗ 77,34 грн.ПД№226 06.10.2021 винагорода 4150,58 грн.,ПД№223 06.10.2021 ПДФ 928,08 грн.</t>
  </si>
  <si>
    <t>Цивільно правой договір від 09.10.2021 ррку на суму 3486 грн в тому разі винагорода 2858,00 грн, есв 628,76 грн. картка платника податків ваід 07.03.2003 року, Згода на обробку персональних даних від 09.10.2021 року, реквізити картки Приватбанк та рахунку.ВПФ ПАТ  МОТОР СІЧ , видаткова накладна ВН-3358а від 27.09.2021 р.</t>
  </si>
  <si>
    <t>ПД№282 від 29.10.2021року ВЗ на суму 186,60 грн, ПД281 від 29.10.2021 року ПДФ на суму 2236,40грн., Видатковий касовий ордер № 45 від 29.10.2021 року на сумум 10000,00 грн., касова книга за 29.10.2021 року. ПД№283 від 29.0.2021 року ЕСВ на суму 2733,06 грн</t>
  </si>
  <si>
    <t>ПД 265 від 18.10.2021 року  ЕСВ на суму 4000,85 рн ПД№263  від 18.10.2021року ВЗ на суму 74,55 грн, ПД№262 від 18.10.2021 року ПДФ на суму 894,60грн., ПД№265 від 18.10.2021 року винагорода на суму 4000,85 грн</t>
  </si>
  <si>
    <t>акт приймання передачі послуг від 16.10.2021 року за договором від 16.10.2021 року   на суму 2274,08 грн в тому разі винагорода1864,00грн ЕСВ 410,08грн</t>
  </si>
  <si>
    <t>ПД №271 від 20.10.2021 року  ЕСВ на суму683,32грнПД№270 від 20.10.2021року ВЗ на суму 46,60 грн, ПД№269 від 20.10.2021 року ПДФ на суму 559,40грн., видатковий касовий ордер №40 від 30.10.2021 року винагорода на суму  2500,00 грнлисток касової книги від 20.10.2021 р.</t>
  </si>
  <si>
    <t xml:space="preserve">ПД№279 від 29.10.2021року ВЗ на суму 252,00 грн, ПД№278 від 29.10.2021 року ПДФ на суму 3019,00грн., видатковий касовий ордер №44 від 29.10.2021 року винагорода на суму  13500,00грн ПД №280 від 29.10.2021 року  ЕСВ на суму 3689,62грн </t>
  </si>
  <si>
    <t>ПД №230 06.10.2021 1134,32 грн.</t>
  </si>
  <si>
    <t>ПД№225 06.10.2021 р 1134,32 грн.</t>
  </si>
  <si>
    <t>ПД№239  11.10.2021 р 628,76</t>
  </si>
  <si>
    <t xml:space="preserve">ПД№283 від 29.0.2021 року ЕСВ на суму 2733,06 грн                          . </t>
  </si>
  <si>
    <t>Цивільно правой договір від 05.10.2021 ррку на суму 15156,00 грн в тому разі винагорода12423,00 грн, есв 2733,06 грн. картка платника податків ваід 07.03.2003 року, Згода на обробку персональних даних від 09.10.2021 року</t>
  </si>
  <si>
    <t>ПД 264 від 18.10.2021 року  ЕСВ на суму 1093,40грн</t>
  </si>
  <si>
    <t xml:space="preserve">ПД 260 від 18.10.2021 року  ЕСВ на суму 273,46грн </t>
  </si>
  <si>
    <t>ПД №271 від 20.10.2021 року  ЕСВ на суму683,32грн</t>
  </si>
  <si>
    <t>ПД №256 від 18.10.2021 року  ЕСВ на суму 410,08грн</t>
  </si>
  <si>
    <t xml:space="preserve">ПД №280 від 29.10.2021 року  ЕСВ на суму 3689,62грн       </t>
  </si>
  <si>
    <t>ПД№170 від 09.09.2021 року на суму 1093,40 грн</t>
  </si>
  <si>
    <t>Договір  про надання послуг №55-21Ш від 30.07.2021 року на суму 12000,00грн.Додаток № 1 до Договору-експлікація проведення заходу, рахунок №с 339 від 04.08.2021 року на суму 12000,00грн</t>
  </si>
  <si>
    <t>Акт надання послгуг№ 10 від 08.08.2021 р. на суму  63340,00 грн.</t>
  </si>
  <si>
    <t xml:space="preserve">ПД№82 02.08.2011 р 40000,00 грн . ПД№ 109 11.08.201 року 23340,00 грн </t>
  </si>
  <si>
    <t>Акт наданих послуг за Догвоором № 09/08 від 01.08.2021 року  від 09.0.82021 року  на сум 29900,00 грн.</t>
  </si>
  <si>
    <t>Договір № 02/08 02.08.2021 р. на суму 8910 грн.Калькуляція вартості послдуг з оренди обладнання . Довідка про Реквізити поточного рахунку ФОП від 03.09.2020 року,Свідоцтво платника единого податку від 01.01.2012 року.Рахунок № 0308 від 03.08.2021 р. на суму 8910,00 грн.</t>
  </si>
  <si>
    <t xml:space="preserve">ПД№84 від 03.08.2021р  8910,00грн втому разі пст. 4.2.3 -6750,00 грн ст. 4.2.13    2160,00 грн. </t>
  </si>
  <si>
    <t xml:space="preserve">Акт наданих послуг за Договором №02/08 від 02.0.82021 року від   09.08.201 року на суму 8910,00 грн. в тому разі пст. 4.2.3 -6750,00 грн ст. 4.2.13    2160,00 грн. </t>
  </si>
  <si>
    <t xml:space="preserve">Акт наданих послуг за Договором №02/08 від 02.0.82021 року від   09.08.201 року на суму 8910,00 грн.. в тому разі пст. 4.2.3 -6750,00 грн ст. 4.2.13    2160,00 грн. </t>
  </si>
  <si>
    <t>Договір оренди обладнання № 29/07-01 від 29.07.2021р на суму . Акт прийому - передачі обладнання в оренду від 04.08.2021р. Додаток №1 , Акт повернення обладання від 09.08.2021р. Додаток №2</t>
  </si>
  <si>
    <t xml:space="preserve">Акт наданих послуг від 09.08.2021 року на суму 46000,00грн. </t>
  </si>
  <si>
    <t xml:space="preserve">Фізична о соба підприємецьСТАНКОВА НАТАЛЯ ВОЛОДИМИРІВНА,код платник аподатків 2089010266,65062, Одеська обл., місто Одеса, ВУЛИЦЯ ЛЕВАНЕВСЬКОГО, будинок 16 виписка  з ЄДР віж 16.01.2012 року,Свідоцво про реєстрацію від 27.10.2000 р. </t>
  </si>
  <si>
    <t xml:space="preserve">Акт нприймання передачі наданихпослуг до Договору № 2/8ЩБ від 02.08.2021 р. від 08.08.2021 р. на суму 90000,00 грн. </t>
  </si>
  <si>
    <t>Акт наданих послуг б/н від 08.08.2021 р.  На суму  28000,00 грн. в тому разі ст 4.2.7 10000,00грн ст. 4.2.8  18000,00грн</t>
  </si>
  <si>
    <t>ПД№163 від 31.08.2021 року на суму 28000,00грн в тому разі ст 4.2.7 10000,00грн ст. 4.2.7  18000,00грн</t>
  </si>
  <si>
    <t>Акт наданих послуг б/н від 08.08.2021 р.  На суму  28000,00 грн. в тому разі ст 4.2.7 10000,00грн ст. 4.2.7 18000,00грн</t>
  </si>
  <si>
    <t>ПД№163 від 31.08.2021 року на суму 28000,00грн в тому разы ст 4.2.7 10000,00грн ст. 4.2.7  18000,00грн</t>
  </si>
  <si>
    <t>Договір №0021/07  оренди рухомого майна  б/н від 21.07.2021року , Додаткова угода №1 . Рахунок на оплату № 7 від 21.07.2021року</t>
  </si>
  <si>
    <t xml:space="preserve">Акт №0008/08/01 приймання передачі наданих послуг від 08.08.2021р на суму 1860,00 грн. </t>
  </si>
  <si>
    <t>ПД№244 від 12.10.2021 року      на суму  43860,00 грн  в т.р. : ст 4. 2 . 10 -  21860,00 грн. ст. 4.2.11- 2000,00 грн., ст. 13.4.20  - 20000,00 грн</t>
  </si>
  <si>
    <t xml:space="preserve">Фізична особа підприємець Мінцис Михайло Борисович ІПН 1928320134,Україна, 65016, Одеська обл., місто Одеса, вул.Каманіна, будинок 9А,Витяг з ЄДР від 16.10.2020р.,Витяг з реєстру платників  єдиного податку від 19.10.2020 року,Згода на обробку персональниїх даних від 01.08.2021 р. Лист про відмову надання покопії паспорту від 01.08.2021 р. </t>
  </si>
  <si>
    <t xml:space="preserve">Акт приймання передачі  наданих послуг від 10.08.2021року на суму 103860,00 грн. в тому разі за рахунок СПФ 20000,00грн. В тому разі  ст. 4.2.10 -оренда лед ламп 21860,00 грн,  ст. 4.2.11 - 22000,00 грн.  Ст. 13.4.20 - 60000,00 грн. . </t>
  </si>
  <si>
    <t>Акт приймання передачі  наданих послуг від 10.08.2021року на суму 103860,00 грн. в тому разі за рахунок СПФ 20000,00грн. В тому разі  ст. 4.2.10 -оренда лед ламп 21860,00 грн,  ст. 4.2.11 - 22000,00 грн.  Ст. 13.4.20 - 60000,00 грн. . .</t>
  </si>
  <si>
    <t>Договір №01/08/21 від 01.08.2021 р. на суму 103860,00грн. В тому разі за рахунок СВФ 20000,000, Протокол узгодження Договірної ціни  надання послуг від 01.08.2021р.Графік фінансування послуг по об'єкту  від 01.08.2021р.р.</t>
  </si>
  <si>
    <t>ПД№66 від 27.07.2021р на суму 19780,20 грн в т.р. футболки 5625,00грн та зарядний пристрій 14155,20грн)</t>
  </si>
  <si>
    <t>Наказ №4/7-Грант від 15.07.2021 року про забезпечення в рекламних цілях інформаційно-презентаційними матеріалами,Рахунок на оплату №5740 від 19.07.2021 року на суму 28818,00 грн.  Затверджений макет майки , Затверджений макет сумки,  Акт списання № 10/9 від 28.10.2021 р.  на суму 34443,00 грн</t>
  </si>
  <si>
    <t>Наказ №4/7-Грант від 15.07.2021 року про забезпечення в рекламних цілях інформаційно-презентаційними матеріалами,Рахунок на оплату №5741 від 19.07.2021 року на суму 19780,20 грн.  Затверджений макет майки , Затверджений макет сумки,Акт списання № 10/9 від 28.10.2021 р.  на суму 34443,00 грн</t>
  </si>
  <si>
    <t>Наказ №4/7-Грант від 15.07.2021 року про забезпечення в рекламних цілях інформаційно-презентаційними матеріалами,Рахунок на оплату №5740 від 19.07.2021 року на суму 28818,00 грн.  Затверджений макет майки , Затверджений макет сумки,Акт списання № 10/9 від 28.10.2021 р.  на суму 34443,00 грн</t>
  </si>
  <si>
    <t>Фізична особа підпрємець КОЛІСНІЧЕНКО СВІТЛАНА ЮРІЇВНА, ІПН 3106319620,Україна, 65074, Одеська обл., місто Одеса, ВУЛИЦЯ АКАДЕМІКА ФІЛАТОВА, будинок 72, кімната 56,57,61</t>
  </si>
  <si>
    <t>Акт виконаних робіт від 29.09.2021 року на суму 3295,00 грн.</t>
  </si>
  <si>
    <t>ПД№193 від 29.09.2021 р. на суму 3295,00</t>
  </si>
  <si>
    <t>ПД№1008 від 09.08.2021 року на суму 14031,00грн. Ст 7.18-4800,00грн ст.13.4.4.16-9231,00грн.</t>
  </si>
  <si>
    <t xml:space="preserve">Договір про надання послуг №01/09 від 01.09..2021 року на суму 12630,00грн.Додаток до договору б/н від 01.09.2021 року, </t>
  </si>
  <si>
    <t>Акт наданих послуг від 01.10.2021 р. на суму 18000,00грн.</t>
  </si>
  <si>
    <t>ПД№246 від 12.10.2021 року на суму 18000,00грн</t>
  </si>
  <si>
    <t>Фізична особа - підприємець Станкова Наталя Володимирівна, ІПНКод2089010266, 65062, м. Одеса, вул. Леваневського, буд. 16
 діючий на підставі Виписки з Єдиного Державного Реєстру юридичних осіб та фізичних осіб-підприємців  №25560010003022410 від  09.06.2021</t>
  </si>
  <si>
    <t>акт виконаних робіт від 29.10.2021 р на суму 20000,00</t>
  </si>
  <si>
    <t>акт виконаних робіт  29.10.2021 р. на суму 8000,00 грн.</t>
  </si>
  <si>
    <t>ПД№313 від 11.11.2021 р на суму 8000,00 грн.</t>
  </si>
  <si>
    <t xml:space="preserve">акт виконаних робіт № 15/07 від 29.10.2021 р. </t>
  </si>
  <si>
    <t>Акт надання послуг № БУ18143 від 05.08.2021 р. сума-10800,00грн</t>
  </si>
  <si>
    <t xml:space="preserve">ТОВАРИСТВО З ОБМЕЖЕНОЮ ВІДПОВІДАЛЬНІСТЮ "МАГНОЛІЯ 21" , Код ЄДРПОУ 44055719, адреса:Україна, 65091, Одеська обл., місто Одеса, вул.Картамишевська, будинок 9д, виписка з ЄДР від 02.02.2021 року,Витяг з реєстру платникіів ежиного податку від 17.02.2021 р. </t>
  </si>
  <si>
    <t>ПД № 2507 від 20.07.2021 р. на суму 3000,00 грн ПД№ 2541 від 13.08.2021 року на суму 18500,00</t>
  </si>
  <si>
    <t>Акт прицому переадчі виконаних робіт 3 17 від 05.8.2021 року на суму 21500,00 грн.</t>
  </si>
  <si>
    <t xml:space="preserve">ТОВАРИСТВО З ОБМЕЖЕНОЮ ВІДПОВІДАЛЬНІСТЮ - КОМПАНІЯ "АЛЬФА" , код єдрпоу 22472751,Україна, 65078, Одеська обл., місто Одеса, ВУЛИЦЯ ТЕРЕШКОВОЇ, будинок 15,                  ДП "Рекламне агенство" АРТ",код ЄДРПОУ 32833768,65039,Одеса , вул. Артилерійська, буд.1; 
</t>
  </si>
  <si>
    <t>ДОЧІРНЄ ПІДПРИЄМСТВО "РЕКЛАМНЕ АГЕНТСТВО "АРТ" ,КОД ЄДРПОУ 32833768,Україна, 65039, Одеська обл., місто Одеса, вул.Артилерійська, будинок 1,</t>
  </si>
  <si>
    <t xml:space="preserve">ДП"РА"АРТ" - </t>
  </si>
  <si>
    <t>ПД№73 від 29.07.2021р ДП"РА" АРКТ на суму 6912,00грн</t>
  </si>
  <si>
    <t>,Акт надання послуг №207 від 06.08.2021р на суму 19440,00грн. Акт надання послуг №279 від 16.10.2021 року на суму 23650,00 грн.</t>
  </si>
  <si>
    <t>ГРОМАДСЬКА ОРГАНІЗАЦІЯ "КУЛЬТУРНО-ВИДАВНИЧИЙ ПРОЕКТ, Україна, 02232, місто Київ, ПРОСПЕКТ МАЯКОВСЬКОГО, будинок 72, квартира 60</t>
  </si>
  <si>
    <t>ПД№66 від 04.08.2021 року на суму 3500,00 грн., ПД№157 від 27.08.2021 року на суму 4135,00</t>
  </si>
  <si>
    <t>Акт прийому - передачі послуг від 29.10.2021 року на суму10000,00 грн.Акт прийому - передачі послуг від 01.09.2021 року на суму 20000,00 грн.</t>
  </si>
  <si>
    <t>Фізична особа підприємець  
КОЛЕСНІЧЕНКО ЛАРИСА ВОЛОДИМИРІВНА, код ІПН 1915718843,Україна, 65012, Одеська обл., місто Одеса, ВУЛИЦЯ БАЗАРНА, будинок 50, квартира 17</t>
  </si>
  <si>
    <t>Фізична особа підприємець  БАСЮК ЮРІЙ ОЛЕКСІЙОВИЧ іпн 3078324257Україна, 65011, Одеська обл., місто Одеса, ВУЛИЦЯ ЄВРЕЙСЬКА, будинок 32, квартира 10</t>
  </si>
  <si>
    <t>Рахункок на оплату № 14  від 09.11.2021 року на суму 6000,00 грн</t>
  </si>
  <si>
    <t>Акт виконаних робіт  № 14  від 09.11.2021 року на суму 6000,00 грн</t>
  </si>
  <si>
    <t>Фізична особа підприємець  ФІЛІМОНОВА АННА ОЛЕКСАНДРІВНА,	ІПН 3240814800,еська обл., місто Одеса, вул. Канатна, будинок 7, квартира 6</t>
  </si>
  <si>
    <t>Рахунок №4 від 10.11.2021 року на сум 8365,00 грн.</t>
  </si>
  <si>
    <t>Акт наданих послуг №4 від 10.11.2021 року на сум 8365,00 грн.</t>
  </si>
  <si>
    <t>ПД№222 від 05.10.2021р. На суму 18900,00грн. СПД Пронькіна Н.В.,ПД№273 від 26.10.2021р. На суму 10100,00грн. СПД Пронькіна Н.В.ПД№70 від 29.07.2021 року на суму 29000,00 грн.</t>
  </si>
  <si>
    <t>Договір про надання послуг № 09/09 від 01.09.2021 року на суму18000,00 грн., калькуляція вартості робут від 01.09.2011 року на суму 18000,00грн</t>
  </si>
  <si>
    <t>АКТ ПРИЙОМУ ПЕРЕДАЧІ НАДАНИХ ПОСЛУГ ВІД 29.10.2021 РОКУ  на сум 18000,00грн.</t>
  </si>
  <si>
    <t>РЕМІШЕВСЬКИЙ ОЛЕКСІЙ ОЛЕКСАНДРОВИЧ, 2962400997,
Україна, 65000, Одеська обл., місто Одеса, БУЛЬВАР ФРАНЦУЗЬКИЙ , будинок 22, корпус Б, квартира 28 паспортсеріяКК № 013151, виданий 20.04.1998 року , І, виписка  з ЄДР від 17.03.2017 року</t>
  </si>
  <si>
    <t>Акт приему-передачі робіт №19-1 від 01.09.2021р.</t>
  </si>
  <si>
    <t>Акт прийому передачи наданих послуг від 01.10.2021 р на суму 20000,00 грн</t>
  </si>
  <si>
    <t xml:space="preserve">ПД№2572 від 07.09.2021р на суму 4850,00грн СПД Ліптуга І.Л.                                ПД № 245 від 12.10.2021 р на суму 6150, 00 грн             ПД № 233 від 08.10.2021 р на суму 9000, 00 грн                                                     </t>
  </si>
  <si>
    <t>Фізична особа підприємець ЛІПТУГА ІВАН ЛЕОНІДОВИЧ, ІПН 2905304435,Україна, 65058, Одеська обл., місто Одеса, ВУЛИЦЯ МАРШАЛА ГОВОРОВА, будинок 5-А, квартира 56</t>
  </si>
  <si>
    <t>Фізична особа підприємець ШПИНАРЬОВ ДМИТРО ЯКОВИЧ, ЄДРПОУ 2484508416, Україна, 65114, Одеська обл, місто Одеса, вулиця Тополина, будинок 10, квартира 11</t>
  </si>
  <si>
    <t>Додаткова угода № 2 від 01.09.2021 р до договору №1-07/2021 від 15.07/2021</t>
  </si>
  <si>
    <t xml:space="preserve">ПД № 241 від 11.10.2021 р на суму 17334,00 грн. </t>
  </si>
  <si>
    <t>ФОП ШЕВЧЕНКО ДМИТРО ІГОРОВИЧ, Код ІПН 3112702096,Україна, 65086, Одеська обл., місто Одеса, ВУЛИЦЯ САХАРОВА, будинок 44, квартира 36, Згода на обробку персональних даних від 01.10.2021 року</t>
  </si>
  <si>
    <t>Фізична особа підприємець ЯСАВЄЄВ ЕДУАРД ФІРДАУСОВИЧ, Код ІПН 3147802955, Україна, Одеська обл, Кілійський район, м. Кілія, вулиця 8-го березня, будинок 66, Згода на обробку персональних даних від 04.08.2021 р</t>
  </si>
  <si>
    <t>Договір №1/10 про надання послуг з розробки електронно- інформаційного ресурсу (веб сайту) від 15.09.2021 року, Рахунок на оплату №71 від 11.10.2021 року на суму 17334,00 грн., виписка з ЄДР від 15.04.2019 року,витяг з реєстру платника единого податку від 09.07.2020 року,Лист про відмову надання паспорту фізичної особи від 01.10.2021 року</t>
  </si>
  <si>
    <t>Акт виконаних робіт до Контракту № 5/8-ЗВ з надання послуг з обслуговування сайту від 05.08.2021р. Від 25.10.2021 року.</t>
  </si>
  <si>
    <t>ПД№ 243 від 12.10.2021р на суму 25000,00 грн ФОП Сичова Я.С.</t>
  </si>
  <si>
    <t xml:space="preserve">Договір №05/08 про надання послуг від 05.08.2021р, Кошторис  на надання послуг з перекладу на суму 10800,00 грн , </t>
  </si>
  <si>
    <t>Акт приймання передачі наданих послуг від 08.08.2021 р.на суму 10800,00 грн.</t>
  </si>
  <si>
    <t>ПД №95 від 09.08.2021р. На суму 10800,00грн</t>
  </si>
  <si>
    <t xml:space="preserve">Договір № 16/07 від 16.07.2021 р, </t>
  </si>
  <si>
    <t>Фізична особа підприємець  КЛИЧЕВ МАРАТ БАТЕРГЕЛЬДИЙОВИЧ, Код ІПН 2837800754,Україна, місто Одеса вул Академіка Філатова,будинок 47/3 кв, Згода на обробку персональних даних від 04.08.2021 року, витяг з ЄДРОУ</t>
  </si>
  <si>
    <t>Акт надання послуг з виготовлення відео контекту з 05.08.2021 р по 08.08.2021 р.згідно за Договорм №4/08- СМ від 04.08.2021 року  від 01.10.2021 року на суму 79400,00 грн.втому разі відеозйомка -40400грн,відеомонтаж  19400,00грн та корекція кольору 19600,00 грн</t>
  </si>
  <si>
    <t xml:space="preserve">АНТАЩУК ОЛЕКСІЙ ОЛЕКСАНДРОВИЧ,ІПН 3249202556,Україна, 65036, Одеська обл., місто Одеса, ВУЛИЦЯ ЩОРСА, будинок 144, корпус 2, квартира 40, паспорт серія СМ №749882 від 25.06.2005р. Картка платника ІПН від 22.12.2005р.Виписка з ЄДР від 05.08.2020 р.,Витяг з реестру платників єдиного податку від 11.08.2020р. </t>
  </si>
  <si>
    <t xml:space="preserve">Акт виконаних робіт №1 від 09.08.2021р. на суму 81700,00 грн ФОП Антащук О.О. в тому разі ст. 13.4.13 -50000,00 грн та ст 13.2.1. 31700,00грн </t>
  </si>
  <si>
    <t xml:space="preserve">ПД№122 від 16.08.201 р. на суму 81700,00 грн в тому разі  ст 13.4.13 - 50000 грн, ст 13.2.1 -31700,00 грн </t>
  </si>
  <si>
    <t>ПД № 274 від 28.10.2021 р на суму 30000, у тому разі ст 13.2.1 - 20000, 00 грн, ст 13.4.10 - 10000,00 грн</t>
  </si>
  <si>
    <t xml:space="preserve">Фізична особа підприємець СТАНКОВА НАТАЛЯ ВОЛОДИМИРІВНА,код ІПН в 2089010266,65062, Україна, Одеська обл., місто Одеса, ВУЛИЦЯ ЛЕВАНЕВСЬКОГО, будинок 16 виписка  з ЄДР віж 16.01.2012 року,Свідоцво про реєстрацію від 27.10.2000 р. </t>
  </si>
  <si>
    <t>Фізична особа підприємець  БАШИНСЬКИЙ ІГОР АНАТОЛІЙОВИЧ, Код ІПН 2882804236, Україна, місто Одеса, вул. Маршала Жукова, буд. 5 Ак, кв. 56, Згода на обробку персональних даних від 16.07.2021 р, паспорт КЕ410602, виданий Кіївським РВ ОМУ УМВС 16.10.1996 р</t>
  </si>
  <si>
    <t>Договір №10/08-Ф від 16.07.2021 р на суму 29000 грн, Додаток від 16.07.2021 р - спеціфікація.</t>
  </si>
  <si>
    <t xml:space="preserve">Фізична особа підприємець  КОХНО СВІТЛАНА ФЕДОРІВНА, Код ІПН 2053702161, Україна, 65038, місто Одеса, вул. Лодочна 15, кв 5, </t>
  </si>
  <si>
    <t>ПД № 194 від 30.09.2021 р на суму 62500 грн</t>
  </si>
  <si>
    <t>ПД № 2513 від 28.07.2021 р на суму 20000, 00 грн</t>
  </si>
  <si>
    <t>Контракт № 1 з надання послуг з графічного компютерного дизайну від 15.07.2021р., Рахунок №1 від 28.07.2021 року на суму 20000,00грн.</t>
  </si>
  <si>
    <t>Видаткова накладна №188 від 06.08.2021 року на сумум 5500,00грн, Акт списання № 4</t>
  </si>
  <si>
    <t>ПД№65 від 27.07.2021р. На суму 2418,00грн ФОП Воскобойніков О.О.ПД №2498 від 14.07.2021р. На сму  4286,64грн ФОП Воскоюойніков О.О. (сплачено за рахунок свої коштів а потів з коштів УКФ погашено на поточний рахунок)</t>
  </si>
  <si>
    <t>ПД №127 від 17.08.2021року на суму  32000,00 грн</t>
  </si>
  <si>
    <t>Акт прийання передачі наданих послуг до Договору № 5/8-П від 09.08.2021 року на суму 32000,00 грн</t>
  </si>
  <si>
    <t>Фізична о соба підприємець ШИПКОВ ЮРІЙ МИХАЙЛОВИЧ, код платника податків 3048921814    
Україна, 65026, Одеська обл., місто Одеса, ПРОВУЛОК ВІЦЕ - АДМІРАЛА ЖУКОВА, будинок 12, квартира 11, Свідоцтво про державну реєстрацію від 30.08.2006 р. Виписка з ЄДР від , витяг з реєстру платників единого податку від 04.07.2019 року №с1915533403061  , Паспорт серія КК№292974, виданий Жовтневим РВ ОМУ УМВС Україги в одеській області  від 14.10.1998 р</t>
  </si>
  <si>
    <t xml:space="preserve">Акт надання послуг від 08.08.2021 р на суму 16113, 00 </t>
  </si>
  <si>
    <t xml:space="preserve">ПД № 314 від 11.11.2021 р на суму 19040,68, у тому разі ст 4.2.14 - 16113, 00, ст 13.4.15 - 2927,68 грн </t>
  </si>
  <si>
    <t>Акт надання послуг № 5 від 29.10.2021 р на суму 8000, 00 грн</t>
  </si>
  <si>
    <t>Акт надання послуг № 63 від 18.10.2021 року на суму 17334,00 грн.</t>
  </si>
  <si>
    <t xml:space="preserve"> Акт надання послуг №122 від 21.07.2021 року, Акт списання № 1/1 від 26.07.2021 р</t>
  </si>
  <si>
    <t xml:space="preserve"> Акт пийому передачі виконаних робіт б/н від 09.08.2021 року на суму 14031,00 грн, АКТ списання № 4 від 05.08.2021 р на суму 4200,00 грн </t>
  </si>
  <si>
    <t>Видаткова накладна №13-10/21А від 13.10.2021 року на суму 81000,00грн, Акт списання №10/5 від 29.10.2021 р на суму 81000,00 грн</t>
  </si>
  <si>
    <t xml:space="preserve">Акт надання послуг № 174 від 09.08.2021р. На сумум 18000,00 грн. </t>
  </si>
  <si>
    <t>ПД№242 вд 12.10.2021 року на суму 18000,00грн.</t>
  </si>
  <si>
    <t>10.1.</t>
  </si>
  <si>
    <t>ПД№ 192 від 27.09.2021р. На суму 2723,00 грн</t>
  </si>
  <si>
    <t>ПД№77 від 30.07.2021  ВЗ на суму 90,00грн.ПД№76 від 30.07.2021р ПДФО на суму 1080,00грн.ПД№2557 від 31.08.2021  ВЗ на суму 180,00грн.ПД2559 від 31.08.2021р ПДФО на суму 2160,00грн.ПД№2586від 30.09.2021  ВЗ на суму 180,00грн.ПД2585 від 30.09.2021р ПДФО на суму 2160,00грн..ПД№2609від 29.10.2021  ВЗ на суму 180,00грн.ПД2608 від 29.10.2021р ПДФО на суму 2160,00грн.ПД№2615 выд 05.11.2021 року ВЗ на суму 90,00грн, ПД№2614 від 05.11.2021 року ВДФО на суму 1080,00 грн. Видатковий касовий ордер № 11 від 30.07.2021р на суму 4830,00грн.  Видатковий касовий ордер № 22 від 31.08. 2021р на суму 9660,00грн.  Видатковий касовий ордер № 29 від 30.09. 2021р на суму 9660,00грн. Видатковий касовий ордер № 42 від 29.10. 2021р на суму 9660,00грн. Видатковий касовий ордер №46 выд 05.11.2021 на суму 4830,00грн.</t>
  </si>
  <si>
    <t>Акт наданих послуг до Договору оренди приміщення №7/1 від 01.07.2021 р. від 31.07.2021 р. сума 6000,00грн,Акт наданих послуг до Договору оренди приміщення №7/1 від 01.07.2021 р. від 31.08.2021 р. сума 12000,00грн,Акт наданих послуг до Договору оренди приміщення №7/1 від 01.07.2021 р. від 30.09.2021 р. сума 12000,00грн, Акт наданих послуг до Договору оренди приміщення №7/1 від 01.07.2021 р. від 31.10.2021 р. сума 12000,00грн</t>
  </si>
  <si>
    <t>Договір оренди студії б/н від 05.09.2021 року на суму 50400,00грн.,Графік проведення запису та реєстру прямих ефірів до Договору на суму 50400,00 грн.</t>
  </si>
  <si>
    <t>Фізична особа підприємець 	
АНТАЩУК ОЛЕКСІЙ ОЛЕКСАНДРОВИЧ, код ІПН 3249202556	
Україна, 65036, Одеська обл., місто Одеса, ВУЛИЦЯ ЩОРСА, будинок 144, корпус 2, квартира 40. Документи по ФОП дивись  ст. 13.4.13, ст 13.2.1,Протокол засідання робочої групи від 10.08.2021року. Цінова пропозиція вд 08.07.2021 року</t>
  </si>
  <si>
    <t>Договір №0208/21-1 оренди обладнання   від 02 серпня 2021 року з Гущиною Т.Л. .Додаток №1 до Договору  Специфікація №1 обладнання, що надається в оренду від 02008.2021 р., Додаток №1  правила технічної експлуатації від 02.08.2021 р.Акт приймання передачі обладнання в оренду від 03 серпня 2021 року,     А кт приймання передачі обладнання з оренди від 08 серпня 2021 року.  Рахунок на оплату № 12 від 02 серпня 2021 р. на суму 63340,00грн</t>
  </si>
  <si>
    <t>Договір № 02/08 02.08.2021 р. на суму 8910 грн.Калькуляція вартості послдуг з оренди обладнання . ахунок № 0308 від 03.08.2021 р. на суму 8910,00 грн. в тому разіст. 4.2.3 - 6750,00 грн., ст 4.2.13-2160,00</t>
  </si>
  <si>
    <t>Фізична о соба підприємець ШИПКОВ ЮРІЙ МИХАЙЛОВИЧ, код платника податків 3048921814   	
Україна, 65026, Одеська обл., місто Одеса, ПРОВУЛОК ВІЦЕ - АДМІРАЛА ЖУКОВА, будинок 12, квартира 11, Свідоцтво про державну реєстрацію від 30.08.2006 р. Виписка з ЄДР від , витяг з реєстру платників единого податку від 04.07.2019 року №с1915533403061  , Паспорт серія КК№292974, виданий Жовтневим РВ ОМУ УМВС Україги в одеській області  від 14.10.1998 р Довідка про Реквізити поточного рахунку ФОП від 03.09.2020 року,Свідоцтво платника единого податку від 01.01.2012 року.</t>
  </si>
  <si>
    <t>Акт приймання передачі  наданих послуг від 10.08.2021року на суму 103860,00 грн. в тому разі за рахунок СПФ 20000,00грн. Зарахунок УКФ 40000,00грн. В тому разі  ст. 4.2.10 -оренда лед ламп 21860,00 грн,  ст. 4.2.11 - 22000,00 грн.  .</t>
  </si>
  <si>
    <t xml:space="preserve">Акт  наданих послуг за Договором від 01.08.201 року № 19/08, від 08.08.2021 року на суму 25000,00 грн. </t>
  </si>
  <si>
    <t xml:space="preserve">Фізична особа підпприємець ВЕРБИЦЬКА ІРИНА ВОЛОДИМИРІВНА	,
Україна, 65123, Одеська обл., місто Одеса, ВУЛ.САХАРОВА, будинок 42, квартира 192, згода на обробку персональних даних від 01.08.20 р. </t>
  </si>
  <si>
    <t>Договорі від 01.08.201 року  за № 19/08, від 08.08.2021 року на суму 25000,00 грн.Акт приймання в оренду обладнання від 04.08.2021 року, Ак приймання передачі (повернення) обладання з оренди від 08.08.2021 року.</t>
  </si>
  <si>
    <t>Договір № 2/8 ОБ  про надання послуг з оренди обладнання від 02.08.2021 на суму 90000,00грн. Специфікація на послуги з оренди  акустичного та звукового обладнання  головній сцені фестивалю на суму 90000,00 грн.Акт приймання обладнання від  04.08.2021 р. , акт повернення обладнання 08.08.2021 р. Протокол засідання групи з реалізаціїї проекту від 20.07.2021 року. Цінрва пропозція від ФОП Станков Н.В. на суму 59 тис.грн, ФОП Антащук О.О. на суму 62 тис. грн . від 18.07.2021р.,ФОП Гринчук І.В. на суму 63,1 тис. грн.ФОП Евсеєнко Б.Б. на суму 63,3 тис грн.</t>
  </si>
  <si>
    <t xml:space="preserve">Договір  № 3/8 від 03.08.2021 року специфікація з оренди обладнання у період з 05.08.2021 р по 08.08.201 р. </t>
  </si>
  <si>
    <t>Договір  № 3/8 ОБ від 03.08.2021 року специфікація з оренди обладнання у період з 05.08.2021 р по 08.08.201 р, акт прийому - передачі від 04.08.2021 р частина 1, акт прийому - передачи б/н від 08.08.2021 р, частина 2</t>
  </si>
  <si>
    <t xml:space="preserve">Договір № 5/8-П від 05.08 2021 р, на суму 32000,00грн, Специфікація до договору 5/8-П від 05.08.2021, рахунок №  1485/21 від 12.08.2021р на суму 32000,00грн. Пояснювальна записка щодо правильного написання платежу, вих № 17/08 від  17.08.2021 року. Акт приймання передачі обладнання від 05.08.2021 р., Акт прийманя передачі обладання від 08.08.2021р.Протокол засідання робочої групи від 30.07.2021р. Цінова пропозиція ФОП Кличєв М.Б. на суму 32000,00 ггрн. від 12.07.2021 р     ФОП Антащук О.О. від 12.07.2021 р на суму 34700, грн., ФОП Гринчук І.в від 19.07.2021р. </t>
  </si>
  <si>
    <t>Акт наданих послуг до Договору оренди обладнання №7/15 від 15.07.2021 р.на суму 9000,00 грн.Акт наданих послуг до Договору оренди обладнання №7/15 від 31.08.2021 р.на суму 9000,00 грн.Акт наданих послуг до Догоовру оренди обладнання №7/15 від 30.09.2021 р.на суму 9000,00 грн.Акт наданих послуг до Догоовру оренди обладнання №7/15 від 29.10.2021 р.на суму 9000,00 грн.</t>
  </si>
  <si>
    <t>Договір оренди обладнання  №07/15 від 15.07.2021року на суму 36000,00 грн. Додаток №1- Акт прийому-передачіф обладання за Договорм оренди №7/15 від 15.07.2021 року ,Додаток №1- Акт прийому-передачі обладання за Договорм оренди №7/15 від 29.10.2021 року ,рахунок на оплату №76 від 28.07.2021р. На суму 18000,00грн. Рахунок на оплату №76 від 28.07.2021 р. на сумум 18000,00 грн. Договір про колективну маеріальну відповідальність від 19.07.2021 року . Протокол засідання робочої групи від 15.07.2021 р. Цінова пропозиція ФОП Касьянов В.І. від 15.07.2021 р. 36,0тис грн.ФОП Каратов О.А. від 09.07.2021р 37,2тис. грн.ФОП Євсеенко Б.Б. 38,4 тис грн.,ФОП Кличев М.Б. від 15.07.2021 р.</t>
  </si>
  <si>
    <t>Договір  пр надання послувг з виготовлення продукції №01\08 М від 01.08.2021 р на суму 29950,00грн. В тому разі ст. 7.3  22125,00грн., ст.13.4.9 7825,00грн.</t>
  </si>
  <si>
    <t>Акт №10\08 від 01.10.2021 року  на суму 29950,00 грн.В тому разі ст. 7.3  22125,00грн., ст.13.4.9 7825,00грн.</t>
  </si>
  <si>
    <t>Наказ №4/7-Грант від 15.07.2021 року про забезпечення в рекламних цілях інформаційно-презентаційними матеріалами.Рахунок на оплату №5741 від 19.07.2021 року на суму 19780,20 грн.(футболка -5625,00грн., зарядний пристрій  14155,20,грн.  Затверджений макет майки , Затверджений макет сумки,Акт списання № 10/9 від 28.10.2021 р.  на суму 34443,00 грн</t>
  </si>
  <si>
    <t>Видаткова накладна №7243 від 28.07.2021р на суму 5625,00грн.</t>
  </si>
  <si>
    <t>,Акт пиймання передачі  робіт № 19_1  до Договору №19/07-Д від 19.07.2021 року  від 10.08.2021р. На суму 27600,00грн. В тому разі Друк банеру 2х3+ деревяний каркас ( програма фестивалю-10400,00грн,Друк банеру 6х4 + металева конструкція (задник для фотозони "Зелена хвиля "-  12000,00грн, Друк банеру для фестивалю "Зелена хвиля"  3х2.5, люверси 40 см (прес-вол) замість ноього Друк банеру 2,5*5 + деревяний каркас (задник для фотозони "I Parus"" 4000,00 грн,Друк банеру 0,86*80 та 0,79*0,80 (оформлення фнвормаційної стійки фестивалю 1200,00грн),</t>
  </si>
  <si>
    <t>Договір, Додаткова угода №2 до Догоовру №19/07-Д від 19.07.2021р на суму 24500,00грн. Додаткова угода №1 до Догоовру №19/07-Д від 19.07.2021 року. На суму 27600,00 грн. Рахунок -фактура №0208-2 від 02.08.2021 р на суму 24500,00грн,Акт на спсиання № 2 від 05.08.2021 р. на суму 24500,00 грн.Протокол засідання робочої групи від 19.07.2021 року. Цінова пропозиція ФОП Колесніченко Л.В. від 05.07.2021 року. 2,1 тис.грн. КПСтудія "ПЕЧАТЬ"від 19.07.2021р. 54,95 тис грн.,РПК КИВИН від 12.07.2021р 58.05 тис грн.</t>
  </si>
  <si>
    <t>Договір, Додаткова угода №2 до Догоовру №19/07-Д від 19.07.2021р на суАкт на спсиання № 2 від 05.08.2021 рму 24500,00грн. Додаткова угода №1 до Догоовру №19/07-Д від 19.07.2021 року. На суму 27600,00 грн. Рахунок -фактура №0208-2 від 02.08.2021 р на суму 24500,00грн,Акт на спсиання № 2 від 05.08.2021 р. на суму 24500,00 грн..Протокол засідання робочої групи від 19.07.2021 року. Цінова пропозиція ФОП Колесніченко Л.В. від 05.07.2021 року. 2,1 тис.грн. КПСтудія "ПЕЧАТЬ"від 19.07.2021р. 54,95 тис грн.,РПК КИВИН від 12.07.2021р 58.05 тис грн.</t>
  </si>
  <si>
    <t>Договір №19/07-Д від 19.07.2021 року , Додаткова угода №2 до Догоовру №19/07-Д від 19.07.2021р на суму 24500,00грн. Додаткова угода №1 до Догоовру №19/07-Д від 19.07.2021 року. На суму 27600,00 грн.   Рахунок -фактура №0208-2 від 02.08.2021 р на суму 24500,00грн,Акт на спсиання № 2 від 05.08.2021 р. на суму 24500,00 грн..Протокол засідання робочої групи від 19.07.2021 року. Цінова пропозиція ФОП Колесніченко Л.В. від 05.07.2021 року. 2,1 тис.грн. КПСтудія "ПЕЧАТЬ"від 19.07.2021р. 54,95 тис грн.,РПК КИВИН від 12.07.2021р 58.05 тис грн.</t>
  </si>
  <si>
    <t>Договір №19/07-Д від 19.07.2021 року , Додаткова угода №2 до Догоовру №19/07-Д від 19.07.2021р на суму 24500,00грн. Додаткова угода №1 до Догоовру №19/07-Д від 19.07.2021 року. На суму 27600,00 грн.   Рахунок -фактура №0208-2 від 02.08.2021 р на суму 24500,00грн, Акт на спсиання № 2 від 05.08.2021 р. Акт на спсиання № 2 від 05.08.2021 р. на суму 24500,00 грн..Протокол засідання робочої групи від 19.07.2021 року. Цінова пропозиція ФОП Колесніченко Л.В. від 05.07.2021 року. 2,1 тис.грн. КПСтудія "ПЕЧАТЬ"від 19.07.2021р. 54,95 тис грн.,РПК КИВИН від 12.07.2021р 58.05 тис грн.</t>
  </si>
  <si>
    <t>Договір №19/07-Д від 19.07.2021 року , Додаткова угода №2 до Догоовру №19/07-Д від 19.07.2021р на суму 24500,00грн. Додаткова угода №1 до Догоовру №19/07-Д від 19.07.2021 року. На суму 27600,00 грн.   Рахунок -фактура №0208-2 від 02.08.2021 р на суму 24500,00грн, Акт на спсиання № 2 від 05.08.2021 р. на суму 24500,00 грн..Протокол засідання робочої групи від 19.07.2021 року. Цінова пропозиція ФОП Колесніченко Л.В. від 05.07.2021 року. 2,1 тис.грн. КПСтудія "ПЕЧАТЬ"від 19.07.2021р. 54,95 тис грн.,РПК КИВИН від 12.07.2021р 58.05 тис грн.</t>
  </si>
  <si>
    <t>Договір №19/07-Д від 19.07.2021 року , Додаткова угода №2 до Догоовру №19/07-Д від 19.07.2021р на суму 24500,00грн. Додаткова угода №1 до Догоовру №19/07-Д від 19.07.2021 року. На суму 27600,00 грн. Рахунок -фактура №0208-1 від 02.08.2021 р на суму 27600,00грн, Акт на списання № 1 від 05.08.2021 року на суму 27600,00 грн  р.Протокол засідання робочої групи від 19.07.2021 року. Цінова пропозиція ФОП Колесніченко Л.В. від 05.07.2021 року. 2,1 тис.грн. КПСтудія "ПЕЧАТЬ"від 19.07.2021р. 54,95 тис грн.,РПК КИВИН від 12.07.2021р 58.05 тис грн.</t>
  </si>
  <si>
    <t>Договір, Додаткова угода №2 до Догоовру №19/07-Д від 19.07.2021р на суму 24500,00грн. Додаткова угода №1 до Догоовру №19/07-Д від 19.07.2021 року. На суму 27600,00 грн. Рахунок -фактура №0208-1 від 02.08.2021 р на суму 27600,00грн Акт на списання № 1 від 05.08.2021 р на суму 27600,00грн..Протокол засідання робочої групи від 19.07.2021 року. Цінова пропозиція ФОП Колесніченко Л.В. від 05.07.2021 року. 2,1 тис.грн. КПСтудія "ПЕЧАТЬ"від 19.07.2021р. 54,95 тис грн.,РПК КИВИН від 12.07.2021р 58.05 тис грн.</t>
  </si>
  <si>
    <t>Договір, Додаткова угода №2 до Догоовру №19/07-Д від 19.07.2021р на суму 24500,00грн. Додаткова угода №1 до Догоовру №19/07-Д від 19.07.2021 року. На суму 27600,00 грн. Рахунок -фактура №0208-1 від 02.08.2021 р на суму 27600,00грн Акт списання №1 вд 05.08.2021 року на суму 27600,00 грн .Протокол засідання робочої групи від 19.07.2021 року. Цінова пропозиція ФОП Колесніченко Л.В. від 05.07.2021 року. 2,1 тис.грн. КПСтудія "ПЕЧАТЬ"від 19.07.2021р. 54,95 тис грн.,РПК КИВИН від 12.07.2021р 58.05 тис грн.</t>
  </si>
  <si>
    <t>Договір №19/07-Д від 19.07.2021 року , Додаткова угода №2 до Догоовру №19/07-Д від 19.07.2021р на суму 24500,00грн. Додаткова угода №1 до Догоовру №19/07-Д від 19.07.2021 року. На суму 27600,00 грн. Рахунок -фактура №0208-1 від 02.08.2021 р на суму 27600,00грн, Акт на списання № 1 від 05.08.2021 року на суму 27600,00 грн.Протокол засідання робочої групи від 19.07.2021 року. Цінова пропозиція ФОП Колесніченко Л.В. від 05.07.2021 року. 2,1 тис.грн. КПСтудія "ПЕЧАТЬ"від 19.07.2021р. 54,95 тис грн.,РПК КИВИН від 12.07.2021р 58.05 тис грн.</t>
  </si>
  <si>
    <t>Рахунок  на опату № 121 від 21.07.2021 року на сумум 4200,00грн. Макет Афіші</t>
  </si>
  <si>
    <t>Договір № 08/10 про надання поліграфічних послуг від 10.08.2021 р. рахунок №0/17 від 29.09.2021 року на суму 3295грн.Акт на списання від 29.09.2021 р  на суму 3295,00 грн.</t>
  </si>
  <si>
    <t>рахунок  фактура № б/н від 05.08.2021 року на суму 14031,00грн. Втому разі за ст. 7,18 - 4800,00 грн. ст.13.4.16 - 9231,00грн. Акт списання №4 від 05.08.2021 року на суму 4800,00грн. Фотозвіт.</t>
  </si>
  <si>
    <t xml:space="preserve">Договір №27/09 від 27.09.2021 року на суму 81000,00грн, Додаток №1 до Договору Кошторис витрат на друк художніх альбомів, робіт фіналістів конкурсу цифрового малюнку iParus 300 примірників. Акт №10\05  списання від 29.10.2021 року на суму 81000,00 грн.фотозвіт.Проколо засідання робочої групи від 25.08.2021 року. Цінова пропозиція ФОП Стешенко Ю.В. від 17.09.2021р. 81,0 тис грн.,ПП СТУДІЯ ПЕЧАТЬ від 16.09.2021р 83,0 тис. грн. </t>
  </si>
  <si>
    <t>Договір №03/08-Ф від 03.08.2021 року на суму 18000,00грн. Специфікація вартості від 03.08.2021р. На суму 18000,00грн.</t>
  </si>
  <si>
    <t>Договір № 02/08 від 02.08.2021 р. Протокол засідання групи зтреалізаціїпроектувід 26.07.2021 року Цінова пропозиція ФОП Мавчан О.В. від 25.07.2021р 20,0тис.грн, ФОП Кінєв П.П. від від 25.07.2021р 24,0 тис. грн.ФОП КнєСтанкова Н.В. від 26.07.21р. 22,5 тис грн.</t>
  </si>
  <si>
    <t>Договір № 04/08-П від 04.08.2021 р на суму 8000,00грн Цінова пропозиція ФОП Мавчан О.В. від 03.08.2021р 8,0тис.грн, ФОП Кінєв П.П. від від 30.072021р 8,2 тис. грн.ФОП Кохно С.Ф. від 23.07.21р. 8,5 тис грн.</t>
  </si>
  <si>
    <t>Договір №15/07 від 15.07.2021 р на суму 72000,00гн.Протокол засідання робочої групи вд 15.07.2021 р. Ціновапропозиція ФОП Мовчан О.В. від від 15.07.2021 року, ФОП КІНЄВ П.П. від 15.07.2021р. ФОП КОХНО С.Ф. від15.07.2021р.ФОП Станкова Н.В. від 15.07.2021р.</t>
  </si>
  <si>
    <t xml:space="preserve">Договір№12/21-ра про рекламне обслуговування від 20.07.2021 р. Рахунко " 58 від 22.07.2021 року на суму 10800,00грн </t>
  </si>
  <si>
    <t xml:space="preserve">ТОВ "АЛЬФА"-Договір № 505/Ар про надання рекламних послуг від 27.07.2021р. Додаткова угода №1 від 27.07.2021р. Сума  19440,00грн.Додаткова угода № 2 від 06.09.2021 року на суму 23650,00 грн.  Рахунок на оплату № 202 від 27.07.2021р          на суму 19440,00 грн. рахунок на оплату № 296 від 06.09.2021 р. на суму 23650,00 грн.   Протокол засідання робочої групи щодо доцільності критеріїв для розміщення реклами від 21.07.2021року.                  </t>
  </si>
  <si>
    <t>Договір № 29 від 26.07.2021р.  Рахунок на ополату №25 від 28.07.2011р. На суму 6912,00грн, гафіки виходів Додаток №1 від 26.07.2021р.</t>
  </si>
  <si>
    <t>Договір № 19/07-Р від 19.07.201р. Додаткова угода № 1 від 19.07.201р На суму 20000,00грн., Рахунок фактура № 2807-2 від 28.07.201р. На суму 20000,00грн попередня оплата. Протокол засідання робочої групи від 19.07.2021р. Цінова прозиція ФАП Колесніченко Л.В. від 19.07.21 42,0тис.грн., ВЦ"Одеський дім" від 19.07.2021 р. 43,5 тис.грн.,РПК Ківін від 19.07.2021 р 46,0 тис.грн.</t>
  </si>
  <si>
    <t>Договір №1-07/2021 від 15.07/2021 р. на суму 58000,00 грн.</t>
  </si>
  <si>
    <t>Фізична особа підприємець Пронькіна Наталя Вікторівна, Код ІПН 3285607284, адреса: м Одеса ,Бульвар Французьський, буд. 22Б, кв. 28, паспортВН 253756 від 08.02.2006р.0, Згода  від 15.07.2021, Довідка про взяття на облік внутрішнього переміщення  особи від 26.10.2016р.Згода на збір та обробку даних від 15.07.2021р.</t>
  </si>
  <si>
    <t>Акт наданих послуг від 28.10. 2021 р на суму 22666,00 грн.</t>
  </si>
  <si>
    <t>Договір на розробку інтернет сайту №4/08 від 04.08.2021 р на суму 22666,00 грн, Додаток № 1 до Договору №4/08 від 04.08.2021 р. Пояснювальна записка від 12.08.2021р. За№12\08</t>
  </si>
  <si>
    <t>Акт приймання передачі наданих послуг до Договору № 01/10 від 01.10.2021 року на суму 12630,00 грн</t>
  </si>
  <si>
    <t>Контракт № 5/08-3В з надання послуг з обслуговування сайту від 05.08.2021 року., Рахунок №5 від 08.08.2021року на суму 25000,00грн. Протокол засідання робочої групи від 29.07.2021 року. Цінова пропозиціявід29.07.2021 року ФОП Сичова Я.С - 25,0 тис. грн., ФОП Пронькина Н.В. 926,1 тис грн., Веб Студія ІЕ4U - 26,5 тис. грн.</t>
  </si>
  <si>
    <t>Акт про надання правової допомоги від 29.10.2021 р. На суму 29900,00 грн.</t>
  </si>
  <si>
    <t xml:space="preserve">Фізична особа підприємець ШЕВЧУК КИРИЛО МИКОЛАЙОВИЧ,  Код ІНН 2946708159, Україна, 65009, Одеська обл., місто Одеса, Фонтанська дорога, будинок 8/6, кв. 137, Відмова від паспортних даних. Згода на обробку персональних даних від 29.10.2021 р. </t>
  </si>
  <si>
    <t>Договір № 8-1 про надання послуг від 04.08.2021 р на суму 81700,00грн., Додаток 1 від 04.08.21 р, Рахунок 6-1 від 04.08.2021 р на суму 81700,00 грн в т.р. 31700 ст 13.2.1 ФОП Антащук О.О.Протокол засідання робочої групи від 20.07.2021 р. Цінова пропозиція від 05.07.2021 р. ФОП ГРИНЧУК І.В.- 85,9 тис. грн.ФОП ЄВСЕЄНКО Б.Б. вд 20.07.2021 р - 85,75 тис грн.,  ФОП Кличєв М.Б. від 20.08.2021 р  - 84,0 тис. грн.ФОП Антащук О.О. від 08.07.2021 р. 81,7 тис. грн.</t>
  </si>
  <si>
    <t>Акт наданих послуг від 28.10. 2021 р на суму 29900,00грн.</t>
  </si>
  <si>
    <t>Акт наданих послуг від 29.10.2021 р на суму 62500,00 грн.</t>
  </si>
  <si>
    <t>Договір №09/08 - Т від 09.08.2021 р на суму 62500, Додаток до договору від 09.08.2021 - спецификация. Протокол засідання робочої групи від 19.07.2021р. Цінова пропозиція від 19.07.201р. ФОП Кохно С.Ф. - 62,5 тис. грн., ФО, ФОП Мовчан О.В. - 3,6 тис. грн.,ФОП Кінєв П.П. - 64,0 тис. грн.ФОП Станкова Н.В -63,5 тис. грн</t>
  </si>
  <si>
    <t>Договір №б\н від 010.2021 року. Карта поселення,Рахунок № 37976 від 05.10.2021 рРахунок №37998 від 06.10.2021 р.Згода на обробку персональних даних від 09.10.2021р., Витяг з реєсру платника единогоподатку від 26.02.2020 р.свідоцтво про реєестрацію сеія В03 №366551.,свідоцтво платника єдиного податку від 01.01.2012 р.</t>
  </si>
  <si>
    <t>ДОГОВІР №11/10 від 02.08.2021 року на суму 59800,00грн.  В т.р. ст. 13.4.8 - 29800грн., ст. 4.2.6 - 30000,00грн. Додаток №1 до Договору 311\10  від 02.08.2021 р. В т.р. ст. 13.4.8 - 29800грн., ст. 4.2.6 - 30000,00грн</t>
  </si>
  <si>
    <t xml:space="preserve">Акт наданих  послуг від  на суму  59800,00 в т.р. ст 4.2.6 -30000,00 грн  ст. 13.4.8. - 29800,00 грн. </t>
  </si>
  <si>
    <t>Договір №05\08 від 05.08.2021 р на суму 16000,00 грн. Кошторис на послуги з написаання сценарі. Вд 05.08.2021 р.</t>
  </si>
  <si>
    <t>Акт наданих послуг за оговором №05\08від   28.10.2021року. На суму 16000,00 грн.</t>
  </si>
  <si>
    <t>ПД№284 вд 29.10.2021 р. на суму 16000,00 грн.</t>
  </si>
  <si>
    <t xml:space="preserve">Акт наданих послуг від 28.10.2021 року на суму 30000,00 грн. </t>
  </si>
  <si>
    <t>Договір №03\09-В від 03.08.2021 року на суму 30000,00 грн. Калькуляція вартості послуг від 03.08.2021 р. Протокол засіання робочої групи ввд 02.08.2021 р. Цінова пропозиція від  08.08.2021 року ФОП Станков Н.В. - 30,0 тис грн.,ФОП Кличєв М.Б - 30,8 тис. грн., ФОП Каратов О.А в- 31,8 тис. грн. ФОП Антащук О.О. - 32,0 тис. грн.</t>
  </si>
  <si>
    <t xml:space="preserve">Договір № 07/07 А від 22.07.2021 , Додаток № 1 до Договору № 07/07  від 07/07.2021 р.Довідка рег № 30-253-45860-2021 від 08.11.2021 р АБ "Південний", лист ПП "Експо-Юг-Сервіс" № 01/10 від 13.10.2021 </t>
  </si>
  <si>
    <t>Акт наданих послуг від 28.10.2021 р на суму 22000,00 грн.</t>
  </si>
  <si>
    <t>ПД№306 від 11.11.2021 р.  на суму 22000,00 грн.</t>
  </si>
  <si>
    <t>Договір № 19/07-К від 19.07.201р. Додаткова угода № 1 від 19.07.201р На суму 12000,00грн., Рахунок фактура № 2807-1 від 28.07.201р. На суму 12000,00грн попередня оплата.Протокол засідання робочої групи від 19.07.2021р.Цінова пропозиція ФОП Шпинарев Д.М від 19.07.2021 р. 39,0 тис грн., ФОП Колесніченко Л.В. від 19.07.2021 р. 39,0 тис грн.,РПКиКВІН від 19.07.2021 р 42,0 тис. гр2021 р. 41,0 тис. грн.н.ВЦ Одеський дім від 05.07.2021 р.</t>
  </si>
  <si>
    <t xml:space="preserve"> АКТ б\н від 05.08.2021 року на суму 25000,00 грн.</t>
  </si>
  <si>
    <t>ПД№2506 від 20.07.2021 р. на суму 28818,00 грн.в  тому разі сумки 17588,00грн футболка 11250,00грн.</t>
  </si>
  <si>
    <t>ТОВАРИСТВО З ОБМЕЖЕНОЮ ВІДПОВІДАЛЬНІСТЮ "Аальфа-прес"код ЄДРПОУ 38438567,,Україна, 65005, Одеська обл., місто Одеса, ВУЛИЦЯ ДАЛЬНИЦЬКА, будинок 4</t>
  </si>
  <si>
    <t>ПД№311 вівд 11.11.2021 р. сума 6000,00 грн.</t>
  </si>
  <si>
    <t xml:space="preserve">акт виконаних робіт  від 28.10.2021 р. на суму 72000,00 грн. в т.р. ст. 13.4.14-45000,00грн ст. </t>
  </si>
  <si>
    <t>ПД№90 від 06.08.2021 р. на суму 72000,00грн. В т.р. ст 13.4.14 -45000,00 грн ст 9.12 -27000,00 грн.</t>
  </si>
  <si>
    <t xml:space="preserve">Фізична особа підприємець ШПИНАРЬОВ ДМИТРО ЯКОВИЧ, ЄДРПОУ 2484508416, Україна, 65114, Одеська обл, місто Одеса, вулиця Тополина, будинок 10, квартира 11.Довідка рег № 30-253-45860-2021 від 08.11.2021 р АБ "Південний", лист ПП "Експо-Юг-Сервіс" № 01/10 від 13.10.2021 </t>
  </si>
  <si>
    <t>Договір №8-1 про надання послуг від 01.08.2021р на суму72000,00грн.,Кошторис на послуги сума 72000,00грн. В ому разі ст. 13.4.14 -45000,00,ст.9.12. 27000,00грн. .Довідка рег № 30-253-45860-2021 від 08.11.2021 р АБ "Південний", лист ПП "Експо-Юг-Сервіс" № 01/10 від 13.10.2021 Протокол засідання робочої групи від 16.07.2021 р. Комерційна прпопозиція від  від 16.07.2021 р. ФОП  Шпинарьов Д.Я -45,00 тис. грн. ФОП Кохно С.С.-50,0 тис.грн., ВЦ Одеський Дім -80,0 тис. грн. РПК Ківін -80,0 тис. грн.</t>
  </si>
  <si>
    <t>ПД№232 від 06.10.2021 р. на суму 1397,89грн</t>
  </si>
  <si>
    <t>ПД№227 від 06.10.2021 р. на суму 1140,12 грн.</t>
  </si>
  <si>
    <t>ПД№ 304 від 11.11.2021 р ПДФО  на суму 12240,00 грн.  ПД№№305 від 11.11.2021 р. ВЗ на сум 1020,00 грн.</t>
  </si>
  <si>
    <t>ПД №234 від 08.10.2021 р. на суму 3890,00 грн. ПД№235 від 08.10.2021 р. на сум 1310,00 грн.</t>
  </si>
  <si>
    <t>Договір №4/08-2021 від 04.08.2021 року . Рахунок на оплату т№ 5 від 11.11.2021 р. на сум 14540,00 грн.Карта проживання на суму 14540,00 грн.</t>
  </si>
  <si>
    <t>Акт №1 від 05.08.2021 р. на суму 14540,00 грн.</t>
  </si>
  <si>
    <t>ПД№303 від 11.11.2021 р на суму 14540,00 грн.</t>
  </si>
  <si>
    <t>Акт надання послуг з виготовлення відео контекту з 05.08.2021 р по 08.08.2021 р.згідно за Договорм №4/8 СМ від 04.08.2021 року  від 01.10.2021 року на суму 79400,00грн.втому разі відеозйомка -40400грн,відеомонтаж  19400,0грн та корекція кольору 19600,гр</t>
  </si>
  <si>
    <t xml:space="preserve">Акт наданих послуг від 03 .08.2021 року на суму 30000,00 грн.  в т.р. ст. 13.4.10 10000,00 грн ст.13.2. -20000,00 грн. </t>
  </si>
  <si>
    <t xml:space="preserve">ПД№274 ввід 28.10.2021 р. на суму 30000,00 грн. в т.р. ст. 13.4.10 10000,00 грн ст.13.2.1 -20000,00 грн. </t>
  </si>
  <si>
    <t xml:space="preserve">Договір № 03/09-В від 03.08.2021 рокум на суау 30000,00 грн. в т.р. ст. 13.4.10 10000,00 грн ст.13.2.1 -20000,00 грн. </t>
  </si>
  <si>
    <t xml:space="preserve">рахунок  фактура № б/н від 05.08.2021 року на суму 14031,00грн. В тому разі за ст. </t>
  </si>
  <si>
    <t>Договір №01/08А від 01.08.2021р на суму72000,00грн.,Кошторис на послуги сума 72000,00грн. В ому разі ст. 13.4.14 -45000,00,ст.9.12. 27000,00грн. .Довідка рег № 30-253-45860-2021 від 08.11.2021 р АБ "Південний", лист ПП "Експо-Юг-Сервіс" № 01/10 від 13.10.2021 Протокол засідання робочої групи від 16.07.2021 р. Комерційна прпопозиція від  від 16.07.2021 р. ФОП  Шпинарьов Д.Я -45,00 тис. грн. ФОП Кохно С.С.-50,0 тис.грн., ВЦ Одеський Дім -80,0 тис. грн. РПК Ківін -80,0 тис. грн.</t>
  </si>
  <si>
    <t xml:space="preserve">акт виконаних робіт  від 28.10.2021 р. на суму 72000,00 грн. в т.р. с,ст.9.12. 27000,00грн. 13.4.14-45000,00грн ст. </t>
  </si>
  <si>
    <t>Договір  б/н від 01.08.2021 року на суму 29500,00грн Список учасниківв програми</t>
  </si>
  <si>
    <t xml:space="preserve">Фізична особа підприємець Цисельска Оксана Єдуардівна, ІПН 248668445Україна, 65026, Одеська обл., місто Одеса, ВУЛИЦЯ СОФІЇВСЬКА, будинок 23, квартира 25, Зщгода на обробку персональних даних від 01.08.2021 р. Паспорт Серія КЕ685174 грн. виданий Київським РВ УМВС України в Одеській областів  22.07.1997 р.Свідоцтво платника єдиного податку від 01.01.2012 р. Свідоцтво Серія В03 №806163 </t>
  </si>
  <si>
    <t>Акт приймання передачі послуг від 31.10.2021 року. На суму 29500, 00 грн</t>
  </si>
  <si>
    <t xml:space="preserve">ПД№123  17.08.2021р. ПДФО 2236,14грн,   ПД№124  17.08.2021р. 186,34грн.,  ПД№125  17.08.2021р. ЕСВ 2733,06 грн.    ПД№126 винагорода на суму 10000,52 грн, ПД№188 23.09.2021 року  ПДФО -1363,86,00 грн     ПД№189 23.09.2021р ВЗ 113,65грн.,    ПД№125 17.08.2021р. ЕСВ 2733,03грн,  ,ПД 191 23.09.2021р винагрода  6099,49 грн., ПД№190 23.09.2021 року ЕСВ -1666,94 грн. </t>
  </si>
  <si>
    <t>Фізична особа підприємець ІПН 2446505550, ХРИЖАНІВСЬКИЙ ДМИТРО ІВАНОВИЧ,Україна, 02068, місто Київ, ВУЛИЦЯ ДРАГОМАНОВА, будинок 18, квартира 224, Витяг зЄДР від 03.12.2013 р. ,Свідоцтво платнеика єдиного податку вілд 28.05.2012 року</t>
  </si>
  <si>
    <t>Договір № 07/14  про надання послуг ввід 16.07.2021 року на суму 29280,00 грн. Кошторис на надання послуг  на суму 29280,00 грн</t>
  </si>
  <si>
    <t>Акт приймання передачі  наданих послуг від 28.10.2021 року на суму 29280,00 грн.</t>
  </si>
  <si>
    <t>Фізична особа підприємець ГРИНЧУК ІГОР ВІКТОРОВИЧ, код ІПН 2630818511, Україна, 65122, Одеська обл., місто Одеса, ВУЛИЦЯ Академіка Вільямся, буд 75, кв.176, Відмова від надання копії паспорту  Витяг з ЄДР від 28.09.2020 р.,</t>
  </si>
  <si>
    <t xml:space="preserve">Фізична особа підприємецьКІНЄВ ПАВЛО ПАВЛОВИЧ ІПН 3250705858,	
Україна, 65025, Одеська обл., місто Одеса, ВУЛИЦЯ ГЕНЕРАЛА БОЧАРОВА, будинок 28, квартира 1	
</t>
  </si>
  <si>
    <t>Договір № 4/08-О від 01.08.2021и р. сума 29980,00 грн.Калькуляціявартостіті послуг до договору №4/8-О від 01.08.2021 року. На суму 29980,00 грн.</t>
  </si>
  <si>
    <t>Акт наданих послуг оператора зйомки офлайн подій від 28.10.2021 року на суму 29980,00 грн.</t>
  </si>
  <si>
    <t>Договір № 10/08 від 01.08.2021 року на суму 66200,00 грн. в т.п. ст. 13.2,1 50664,00 грн. ст 13.4.10.  15536,00 грн. Протокол засідання робочої групи від 31.07.2021 р. Комерційна пропозиція від 31.07.2021 р.  Від ФОП Гринчук І.В -66,2 тис. грн.,ФОП Кличєв М.Б. 67,2 тис. грн.ФОТ Антонщук  О.О. 67,7 тис. грн.,ФОП Євсеєнко Б.Б. 68,15 тис. грн.</t>
  </si>
  <si>
    <t>Акт наданих послуг від 29.10.2021 р сума 66200,00 грн. в т.п. ст. 13.2,1 50664,00 грн. ст 13.4.10.  15536,00 грн.</t>
  </si>
  <si>
    <t xml:space="preserve"> Фізична особа підприємець 	
ВЕНЗІГА СЕРГІЙ СЕРГІЙОВИЧ,  ІПН 2719912539,	
Україна, 65062, Одеська обл., місто Одеса, ФОНТАНСЬКА ДОРОГА, будинок 63, квартира 27, Виписка з ЄДР від 29.10.2018 р. , дані поточного рахунку ФОП.Витяг з реєстру платників единого податку від 16.01.2019 р. </t>
  </si>
  <si>
    <t xml:space="preserve">  сплата ПДФО та Військового збору за проживання гостей в готелі</t>
  </si>
  <si>
    <t xml:space="preserve">ПД №2528 від 04.08.2021 на суму 14600,00грн. ФОП БАРДУС С.М.  </t>
  </si>
  <si>
    <t>Цивільно правовий лдоговір  від 19.10.2021 р на суму 3789,32грн в т. разі винагорода 3106,00грн ЕСВ 22; 683,32 грн.</t>
  </si>
  <si>
    <t>Акт прийманняи  передачі наданих послуг  від 19.10.2021 р. за Цивільно правовим договлром  від 19.10.2021 р на суму 3789,32грн в т. разі винагорода 3106,00грн ЕСВ 22; 683,32 грн.</t>
  </si>
  <si>
    <t xml:space="preserve">Фізична особа Закіпна Галина Володимирівна, паспорт серії КК № 407564 виданий Приморським РВ ОМУ УМВС України в Одеській областрі 17 січня 2000 . ІПН 2231409540, Україна, м. Одеса, вул. Тіниста б13, кв. 4 , Паспортсерія КК №407564 відт 17.01.2000 р. виданий Приморським РВ УМВС України в Одеській області </t>
  </si>
  <si>
    <t xml:space="preserve">Акт наданих послуг за Договором №02/08 від 02.0.82021 року від   09.08.201 року на суму 19040,68 грн.. </t>
  </si>
  <si>
    <t xml:space="preserve">Договір № 02/08 02.08.2021 р. на суму 8910,00 грн. грн.Калькуляція вартості послдуг з оренди обладнання .Додаткова угода №1 від 02.08.2021 р. на суму 19040,68.00грн. В т.р. ст 13.4.15   2927,68 грн.  Ст. 4.2.14. 16113,00 грн. </t>
  </si>
  <si>
    <t xml:space="preserve">ПД№314 від 11.11.2021 року на суму 19040,68 грн.В т.р. ст 13.4.15   2927,68 грн.  Ст. 4.2.14. 16113,00 грн. </t>
  </si>
  <si>
    <t xml:space="preserve">Додаткова угода № 1 до Договору 02/08 від 02.08.2021 р, Акт прийому - передачи обладнання від 04.08.2021 р Частина 1, Акт прийому - передачи від 08.08.2021 р частина 2, .Додаткова угода №1 від 02.08.2021 р. на суму 19040,68.00грн. В т.р. ст 13.4.15   2927,68 грн.  Ст. 4.2.14. 16113,00 грн. </t>
  </si>
  <si>
    <t>Акт наданих послуг від 05.08.2021ир на суму 15000,00грн.</t>
  </si>
  <si>
    <t>Договір №22/07-ПК  від 20.07.2021 р на суму 15000,00 грн.Кошторис витрат до Договору від 20.07.2021 р.  Додаток до договору від 09.08.2021 - спецификация. Протокол засідання робочої групи від 19.07.2021р. Цінова пропозиція від 19.07.201р. ФОП Кохно С.Ф. - 15,0 тис. грн., ФО, ФОФОП Колесніченко Л.В 16,0 тис грн  Шпинарьов Д.Я. 16,5 тис грн.</t>
  </si>
  <si>
    <t xml:space="preserve">ПД №248 від 13.10.2021 року на суму  15000,00 грн. </t>
  </si>
  <si>
    <t>ПД№310 від 11.11.2021 р. на суму 2500,33 грн.винагорода, ПД№308 від 11.11.2021 р. ВЗ на суму 46,59,00 грн. ПД №307 від 11.11.2021 р.ПДФО 559,08 грн.ПД№309 від 11.11.2021 р. ЕСВ 683,32</t>
  </si>
  <si>
    <t>оренда включає запис передачі та її рестрім, в середньому на 1 ефір готового продукту потрібно 3 години зйомок і час на монтаж.</t>
  </si>
  <si>
    <t>виставка не проведена у зв'язку з включенням Одеси до червоної зони у дати запланованого заходу</t>
  </si>
  <si>
    <t>з урахуванням карантинних обмежень та кількості спікерів знадобився більший зал для одного із заходів. Інші заходи провели на партнерських майданчиках.</t>
  </si>
  <si>
    <t>вартість зменшилась тому що зменшився розмір намету, у зв'язку з обмеженнями наданої парком площі.</t>
  </si>
  <si>
    <t>не знадобився</t>
  </si>
  <si>
    <t>збільшилася вартість у зв'язку із збільшенням звукового обладнання для музичних колективів, що працюють наживо.</t>
  </si>
  <si>
    <t>замінили колонки, що розставляються книжковою алеєю на більш потужні через сторонні шуми сусідніх локацій.</t>
  </si>
  <si>
    <t>замінили колонки на більш потужні через сторонні шуми сусідніх локацій, використовували більш потужний екран для демонстрацій у сонячну погоду</t>
  </si>
  <si>
    <t>вартість зменшилась у зв'язку із змінами у програмі, використовували синхронний переклад 2 дні.</t>
  </si>
  <si>
    <t xml:space="preserve">кошти не витрачени через початкове некоректне формулювання у бюджеті. Під час реалізації проекту з'ясувалося, що Квед 77.11 "Надання в оренду автомобілів і легкових автотранспортних засобів" не передбачае водия и в нашому віпадку не підходить для надання послуг трансферу, перевезення. </t>
  </si>
  <si>
    <t>один з роликів анімаційний вище вартість створення</t>
  </si>
  <si>
    <t>була необхідність збільшення кількості роликів на 4 штуки щоб збільшити залучення аудиторії різного віку та посилити ефект від просування фестивалю</t>
  </si>
  <si>
    <t>спочатку бюджетування було допущено помилку у кількості днів. у сметарі відображено лише 1 день розміщення, за фактом було 7.</t>
  </si>
  <si>
    <t xml:space="preserve">вартість збільшилася через збільшення кількості розміщень публікацій про фестиваль у ЗМІ,вартість збільшилася у зв'язку із збільшенням кількості розміщень публікацій про фестиваль у ЗМІ, що відображено у змістовому звіті </t>
  </si>
  <si>
    <t>вартість збільшена у зв'язку із збільшенням кількості копірайтингу для розміщення на різноманітних інформаційних ресурсах, що відображено у змістовому звіті.</t>
  </si>
  <si>
    <t>Зменшився обсяг просування</t>
  </si>
  <si>
    <t>вартість збільшена у зв'язку з додаванням графічних анімаційних елементів на сайті</t>
  </si>
  <si>
    <t>У зв'язку із змінами у програмі та зменшенням іноземних спікерів, зменшився обсяг усного перекладу</t>
  </si>
  <si>
    <t>зменшилася кількість контенту для перекладу</t>
  </si>
  <si>
    <t>збільшено обсяг договорів із контрагентами</t>
  </si>
  <si>
    <t>Збільшено обсяг відеоконтенту у зв'язку із змінами у програмі фестивалю, що відображено у змістовому звіті</t>
  </si>
  <si>
    <t>Збільшено обсяг графічних та анімаційних елементів в виделконтенті у зв'язку із змінами у програмі фестивалю, що відображено у Змістовому звіті</t>
  </si>
  <si>
    <t>вартість зменшена у зв'язку із зменшенням кількості квитків</t>
  </si>
  <si>
    <t>вартість збільшена у зв'язку із збільшенням кількості звукового та світлового обладнання на головній сцені фестивалю</t>
  </si>
  <si>
    <t>вартість збільшена у зв'язку з проведенням заходів на кількох локаціях одночасно або необхідності лівих операторів на одному заході, що відображено у Змістовому звіті</t>
  </si>
  <si>
    <t>Вартість збільшена у зв'язку з додатковими ювілейними елементами та встановленням фотозони на відкритій площі, що відображено у фотозвіті.</t>
  </si>
  <si>
    <t>сума недоосвоєна у зв'язку з тим, що знайшли найбільш прийнятний варіант ціна-якість</t>
  </si>
  <si>
    <t>зменшилася кількість модераторів, спікерів</t>
  </si>
  <si>
    <t>надали більш економні лампи іншого виробника з іншою вартістю</t>
  </si>
  <si>
    <t>збільшили кількість крісел 10 штук у зв'язку із розширенням зони дитячої творчості</t>
  </si>
  <si>
    <t>сума не освоєна у зв'язку з тим, що обрані раніше борди були зайняті та було достатньо інших рекламоносіїв для анонсування проекту</t>
  </si>
  <si>
    <t>збільшено кількість днів</t>
  </si>
  <si>
    <t>4EVE11-07335 XXV Міжнародний книжковий фестиваль "Зелена хвиля"</t>
  </si>
  <si>
    <t>у період з _15_ЛИПНЯ 2021 року по 15 листопада 2021 року</t>
  </si>
  <si>
    <r>
      <t>Алєскєрова Лала Хайямівна,</t>
    </r>
    <r>
      <rPr>
        <sz val="10"/>
        <color rgb="FF70AD47"/>
        <rFont val="Calibri"/>
        <family val="2"/>
        <charset val="204"/>
      </rPr>
      <t xml:space="preserve"> </t>
    </r>
    <r>
      <rPr>
        <sz val="10"/>
        <color theme="1"/>
        <rFont val="Calibri"/>
        <family val="2"/>
        <charset val="204"/>
      </rPr>
      <t>ІПН 2251220920 м.Одеса, Фонтанська дорога,буд.16,кв.18,Згода на обробку персональних даних від 24.06.2021р,  По 31.10.2021 р.паспорт серія КК№ 542650 від 18.10.2002р., виданий Приморським РВ УМВС України в Одеській області,</t>
    </r>
  </si>
  <si>
    <r>
      <t xml:space="preserve">Договір ЦПХ №1ХБ від 15.07.2021р. Сума договору-32000,00 грн дохід +22% ЕСВ 7040 грн. Згода на обробку </t>
    </r>
    <r>
      <rPr>
        <sz val="10"/>
        <rFont val="Calibri"/>
        <family val="2"/>
        <charset val="204"/>
      </rPr>
      <t xml:space="preserve">персональних даних від 15.07.2021р. </t>
    </r>
  </si>
  <si>
    <r>
      <rPr>
        <sz val="10"/>
        <rFont val="Calibri"/>
        <family val="2"/>
        <charset val="204"/>
      </rPr>
      <t>ПД № 80 від 30.07.21р.-2358,40 ЄСВ за 2п/липня, ПД №130 від 19.08.21р.- 2222,00 ЄСВ за 1п/серпня, ПД№ 161 від 31.08.21р.-2222,00-ЄСВ за 2 п/серпня,  ПД№ 182 від 17.09.21р- 2222,00 -ЄСВ за 1 п/вересня, ПД№ 198 від 30.09.21р-2222,00 -ЄСВ за 2п/вересня,  ПД№ 253 від 18.10.21р.,-2222,00 ЄСВ за 1 п/жовтня, ПД№ 277 від 29.10.21р., -2222,00 -ЄСВ за 2 п/жовтня, ПД№287 05.11.2021 р -2085,60 грн.</t>
    </r>
    <r>
      <rPr>
        <sz val="10"/>
        <color theme="9"/>
        <rFont val="Calibri"/>
        <family val="2"/>
        <charset val="204"/>
      </rPr>
      <t xml:space="preserve">, </t>
    </r>
  </si>
  <si>
    <r>
      <t xml:space="preserve">Фізична о соба підприємець </t>
    </r>
    <r>
      <rPr>
        <b/>
        <sz val="10"/>
        <color theme="1"/>
        <rFont val="Calibri"/>
        <family val="2"/>
        <charset val="204"/>
      </rPr>
      <t>ГУЩИНА ТЕТЯНА ЛЕОНІДІВНА</t>
    </r>
    <r>
      <rPr>
        <sz val="10"/>
        <color theme="1"/>
        <rFont val="Calibri"/>
        <family val="2"/>
        <charset val="204"/>
      </rPr>
      <t xml:space="preserve">, код платника податків 2882304724, 	
Україна, 01024, місто Київ, ВУЛИЦЯ ЛЮТЕРАНСЬКА, будинок 10 А, квартира 38   , Виписка з Єжиного державного реестру юридичних осіб, фізичних осіб- підприємців та громадських формувань від 10.10.2019р        Протокол засідання робочої грпи від 26.07.2021 року, Цінова пропозиція    ФОП Гущина Т.Л.,ФОП Вербицька       І.В,ФОПКаратов О.А.             </t>
    </r>
  </si>
  <si>
    <r>
      <t xml:space="preserve">Фізична особа підприємець </t>
    </r>
    <r>
      <rPr>
        <b/>
        <sz val="10"/>
        <color theme="1"/>
        <rFont val="Calibri"/>
        <family val="2"/>
        <charset val="204"/>
      </rPr>
      <t>КАРАТОВ ОЛЕКСАНДР АНАТОЛІЙОВИЧ</t>
    </r>
    <r>
      <rPr>
        <sz val="10"/>
        <color theme="1"/>
        <rFont val="Calibri"/>
        <family val="2"/>
        <charset val="204"/>
      </rPr>
      <t xml:space="preserve">,ІПН 1965216375,Україна, 65010, Одеська обл., місто Одеса, АДМІРАЛЬСЬКИЙ ПРОСПЕКТ, будинок 24, квартира 4, заява про відмову надавати паспорт від 01.08.2021 р. Свідоцтво про державну реестрацію  серія В00 № 108351 від 11.04.2003 року. Детальна інформація з Є.Д. Цінова пропозиція    ФОП Гущина Т.Л.,ФОП Вербицька   І.В,ФОП Каратов О.А.      </t>
    </r>
  </si>
  <si>
    <r>
      <t>Договір № 09/08 від 01.08.2021 року  на суму 29900,00 грн</t>
    </r>
    <r>
      <rPr>
        <sz val="10"/>
        <rFont val="Calibri"/>
        <family val="2"/>
        <charset val="204"/>
      </rPr>
      <t>.Акт приймання передачі обладнання в оренду від 04 серпня 2021 року, акт приймання передачі обладнання з оренди від 08 серпня 2021 року</t>
    </r>
  </si>
  <si>
    <r>
      <t xml:space="preserve">Фізична о соба підприємець </t>
    </r>
    <r>
      <rPr>
        <b/>
        <sz val="10"/>
        <rFont val="Calibri"/>
        <family val="2"/>
        <charset val="204"/>
      </rPr>
      <t>ШИПКОВ ЮРІЙ МИХАЙЛОВИЧ</t>
    </r>
    <r>
      <rPr>
        <sz val="10"/>
        <rFont val="Calibri"/>
        <family val="2"/>
        <charset val="204"/>
      </rPr>
      <t>, код платника податків 3048921814   	
Україна, 65026, Одеська обл., місто Одеса, ПРОВУЛОК ВІЦЕ - АДМІРАЛА ЖУКОВА, будинок 12, квартира 11, Свідоцтво про державну реєстрацію від 30.08.2006 р. Виписка з ЄДР від , витяг з реєстру платників единого податку від 04.07.2019 року №с1915533403061  , Паспорт серія КК№292974, виданий Жовтневим РВ ОМУ УМВС Україги в Одеській області  від 14.10.1998 р Довідка про Реквізити поточного рахунку ФОП від 03.09.2020 року,Свідоцтво платника единого податку від 01.01.2012 року.Р</t>
    </r>
  </si>
  <si>
    <r>
      <rPr>
        <sz val="10"/>
        <rFont val="Calibri"/>
        <family val="2"/>
        <charset val="204"/>
      </rPr>
      <t xml:space="preserve"> Договір № 02/08-Е від 02.08.2021р</t>
    </r>
    <r>
      <rPr>
        <sz val="10"/>
        <color theme="1"/>
        <rFont val="Calibri"/>
        <family val="2"/>
        <charset val="204"/>
      </rPr>
      <t>.Акт приймання обладнання від 04.08.2021 р. акт повернення обладнання від 09.08.2021 р. Рахунок на оплату б/н від   на суму 46000,00грн.Протокол засідання робочої групи  від 30.07.2021 року, Цінова пропозиція від ФОП Станков Н.В, ФОП Антащук О.О., ФОП Каратов О.А.,ФОП Євсеєв Б.Б.</t>
    </r>
  </si>
  <si>
    <r>
      <t xml:space="preserve">Фізична особа підприємець </t>
    </r>
    <r>
      <rPr>
        <b/>
        <sz val="10"/>
        <color theme="1"/>
        <rFont val="Calibri"/>
        <family val="2"/>
        <charset val="204"/>
      </rPr>
      <t>ЄВСЄЄНКО БОРИС БОРИСОВИЧ</t>
    </r>
    <r>
      <rPr>
        <sz val="10"/>
        <color theme="1"/>
        <rFont val="Calibri"/>
        <family val="2"/>
        <charset val="204"/>
      </rPr>
      <t>,65017, Одеська обл., місто Одеса, ВУЛИЦЯ РЕКОРДНА, будинок 21, квартира 43, згода на обробку персональних даних від 02.08.2021 р.</t>
    </r>
  </si>
  <si>
    <r>
      <t>ФОП</t>
    </r>
    <r>
      <rPr>
        <b/>
        <sz val="10"/>
        <color theme="1"/>
        <rFont val="Calibri"/>
        <family val="2"/>
        <charset val="204"/>
      </rPr>
      <t xml:space="preserve"> МАКАСЕЭВ ВІТАЛІЙ ВОЛОДИМИРОВИ</t>
    </r>
    <r>
      <rPr>
        <sz val="10"/>
        <color theme="1"/>
        <rFont val="Calibri"/>
        <family val="2"/>
        <charset val="204"/>
      </rPr>
      <t>Ч, ІПН  2642024654,Україна, 65089, Одеська обл., місто Одеса, ВУЛИЦЯ АКАДЕМІКА КОРОЛЬОВА, будинок 98, корпус 2, квартира 52, виписка з ЄДР від 19.01.2021 р. , витяг з реєстрку платників единого податку ,Довідка про взяття на облік платників податку від 17.08.2012 року с№ 18-02/772,Згода на обробку персональних даних від 03.08.2021р.</t>
    </r>
  </si>
  <si>
    <r>
      <t xml:space="preserve">ФОП </t>
    </r>
    <r>
      <rPr>
        <b/>
        <sz val="10"/>
        <rFont val="Calibri"/>
        <family val="2"/>
        <charset val="204"/>
      </rPr>
      <t>МАКАСЕЭВ ВІТАЛІЙ ВОЛОДИМИРОВИЧ</t>
    </r>
    <r>
      <rPr>
        <sz val="10"/>
        <rFont val="Calibri"/>
        <family val="2"/>
        <charset val="204"/>
      </rPr>
      <t>, ІПН  2642024654,Україна, 65089, Одеська обл., місто Одеса, ВУЛИЦЯ АКАДЕМІКА КОРОЛЬОВА, будинок 98, корпус 2, квартира 52, виписка з ЄДР від 19.01.2021 р. , витяг з реєстрку платників единого податку ,Довідка про взяття на облік платників податку від 17.08.2012 року с№ 18-02/772,Згода на обробку персональних даних від 03.08.2021р.</t>
    </r>
  </si>
  <si>
    <r>
      <t xml:space="preserve">фізична особа підпрємець </t>
    </r>
    <r>
      <rPr>
        <b/>
        <sz val="10"/>
        <color theme="1"/>
        <rFont val="Calibri"/>
        <family val="2"/>
        <charset val="204"/>
      </rPr>
      <t>САВЧУК ІРИНА  МИХАЙЛІВНА, 3163212485</t>
    </r>
    <r>
      <rPr>
        <sz val="10"/>
        <color theme="1"/>
        <rFont val="Calibri"/>
        <family val="2"/>
        <charset val="204"/>
      </rPr>
      <t>,02055, місто Київ, ПРОСПЕКТ ПЕТРА ГРИГ</t>
    </r>
    <r>
      <rPr>
        <sz val="10"/>
        <rFont val="Calibri"/>
        <family val="2"/>
        <charset val="204"/>
      </rPr>
      <t>ОРЕНКА , будинок 7А, квартира 108,Запит на отримання витягу з реєстру платників единого полдатку  від 24.07.2019 року, виписка з ЄДР від 25.07.2019 року, паспорт серія МЕ 333022 виданий 25.09.2002 року, довідка про присвоення ІН 3163212486</t>
    </r>
    <r>
      <rPr>
        <sz val="11"/>
        <color theme="1"/>
        <rFont val="Calibri"/>
        <family val="2"/>
        <charset val="204"/>
        <scheme val="minor"/>
      </rPr>
      <t/>
    </r>
  </si>
  <si>
    <t>Видаткова накладна №7242 від 28.07.2021р на суму 28818,00грн..в  тому разі сумки 17588,00грн футболка 11250,00грн.</t>
  </si>
  <si>
    <r>
      <t>фізична особа підпрємець</t>
    </r>
    <r>
      <rPr>
        <b/>
        <sz val="10"/>
        <color theme="1"/>
        <rFont val="Calibri"/>
        <family val="2"/>
        <charset val="204"/>
      </rPr>
      <t>ВАСИЛЕНКО ЮРІЙ ГРИГОРОВИЧ</t>
    </r>
    <r>
      <rPr>
        <sz val="10"/>
        <color theme="1"/>
        <rFont val="Calibri"/>
        <family val="2"/>
        <charset val="204"/>
      </rPr>
      <t>, код ІПД 2750703677, Україна, 03134, місто Київ, ВУЛИЦЯ БУЛГАКОВА, будинок 2А, квартира 69, виписка з ЄДР від 01.08.2019 р.</t>
    </r>
  </si>
  <si>
    <r>
      <t xml:space="preserve">фізична особа підпрємець </t>
    </r>
    <r>
      <rPr>
        <b/>
        <sz val="10"/>
        <rFont val="Calibri"/>
        <family val="2"/>
        <charset val="204"/>
      </rPr>
      <t>САВЧУК ІРИНА  МИХАЙЛІВНА,</t>
    </r>
    <r>
      <rPr>
        <sz val="10"/>
        <rFont val="Calibri"/>
        <family val="2"/>
        <charset val="204"/>
      </rPr>
      <t xml:space="preserve"> 3163212485,02055, місто Київ, ПРОСПЕКТ ПЕТРА ГРИГОРЕНКА , будинок 7А, квартира 108,Запит на отримання витягу з реєстру платників единого полдатку  від 24.07.2019 року, виписка з ЄДР від 25.07.2019 року, паспорт серія МЕ 333022 виданий 25.09.2002 року, довідка про присвоення ІН 3163212485</t>
    </r>
  </si>
  <si>
    <r>
      <t xml:space="preserve">фізична особа підприємець </t>
    </r>
    <r>
      <rPr>
        <b/>
        <sz val="10"/>
        <color theme="1"/>
        <rFont val="Calibri"/>
        <family val="2"/>
        <charset val="204"/>
      </rPr>
      <t>ОМЕЛЬЧЕНКО МИКОЛА ФЕДОРОВИЧ</t>
    </r>
    <r>
      <rPr>
        <sz val="10"/>
        <color theme="1"/>
        <rFont val="Calibri"/>
        <family val="2"/>
        <charset val="204"/>
      </rPr>
      <t xml:space="preserve">, код ІПН 2987919797, країна, 65007, Одеська обл., місто Одеса, ВУЛИЦЯ БОГДАНА ХМЕЛЬНИЦЬКОГО, будинок 23, квартира 15, Згода на обробку персональних даних від 10.08.2021 р. паспор серія КК 670631 виданий  7.09.2001 р.витяг з ЄДР , </t>
    </r>
  </si>
  <si>
    <r>
      <t>ФО-П</t>
    </r>
    <r>
      <rPr>
        <b/>
        <sz val="10"/>
        <color theme="1"/>
        <rFont val="Calibri"/>
        <family val="2"/>
        <charset val="204"/>
      </rPr>
      <t xml:space="preserve"> Стешенко Юлія Валеріївна</t>
    </r>
    <r>
      <rPr>
        <sz val="10"/>
        <color theme="1"/>
        <rFont val="Calibri"/>
        <family val="2"/>
        <charset val="204"/>
      </rPr>
      <t>,Код ІПН 3142716688, Україна м Одеса, вулиця Середньофонтанська , будинок 19А,Згода на обробку персональних даних від 27.09.2021 року, паспорт серіяКм№815987 від 20.12.2012 року, виданий Київським РВ у м. Одесі ГУДМС України в Одеській області.</t>
    </r>
  </si>
  <si>
    <r>
      <t xml:space="preserve">Фізична особа підприємець </t>
    </r>
    <r>
      <rPr>
        <b/>
        <sz val="10"/>
        <color theme="1"/>
        <rFont val="Calibri"/>
        <family val="2"/>
        <charset val="204"/>
      </rPr>
      <t xml:space="preserve">ТРОФІМОВ ЯРОСЛАВ ІГОРОВИЧ, </t>
    </r>
    <r>
      <rPr>
        <sz val="10"/>
        <color theme="1"/>
        <rFont val="Calibri"/>
        <family val="2"/>
        <charset val="204"/>
      </rPr>
      <t>КОД ІПН 302081802,Україна, 65043, Одеська обл., місто Одеса, ВУЛ. ВАРНЕНСЬКА, будинок 7, корпус Б, квартира 76Виписка з ЄДР від 25.05.2011 року,витяг з реєстру платників єдиного податку від 24.03.2015 року. Паспортсерія КК №479775, виданий Київським РВ УМВС України в Одеській області 07.06.2000 року.</t>
    </r>
  </si>
  <si>
    <r>
      <t xml:space="preserve">Фізична особа підприємець </t>
    </r>
    <r>
      <rPr>
        <b/>
        <sz val="10"/>
        <color theme="1"/>
        <rFont val="Calibri"/>
        <family val="2"/>
        <charset val="204"/>
      </rPr>
      <t>МОВЧАН ОЛЕКСАНДР ВАЛЕРІЙОВИЧ</t>
    </r>
    <r>
      <rPr>
        <sz val="10"/>
        <color theme="1"/>
        <rFont val="Calibri"/>
        <family val="2"/>
        <charset val="204"/>
      </rPr>
      <t>, Код ІПН3033102150,адреса реєстарції:Україна, 65031, Одеська обл., місто Одеса, ПРОВУЛОК ДЕРЕВООБРОБНИЙ 4-Й, будинок 82</t>
    </r>
  </si>
  <si>
    <r>
      <t xml:space="preserve">Фізична особа підприємець </t>
    </r>
    <r>
      <rPr>
        <b/>
        <sz val="10"/>
        <rFont val="Calibri"/>
        <family val="2"/>
        <charset val="204"/>
      </rPr>
      <t>МОВЧАН ОЛЕКСАНДР ВАЛЕРІЙОВИЧ</t>
    </r>
    <r>
      <rPr>
        <sz val="10"/>
        <rFont val="Calibri"/>
        <family val="2"/>
        <charset val="204"/>
      </rPr>
      <t>, Код ІПН3033102150,адреса реєстарції:Україна, 65031, Одеська обл., місто Одеса, ПРОВУЛОК ДЕРЕВООБРОБНИЙ 4-Й, будинок 82</t>
    </r>
  </si>
  <si>
    <r>
      <t>Договір про надання послуг №01/10 від 01.10.2021 року сума 12630,00грн</t>
    </r>
    <r>
      <rPr>
        <sz val="10"/>
        <color rgb="FFFF0000"/>
        <rFont val="Calibri"/>
        <family val="2"/>
        <charset val="204"/>
      </rPr>
      <t xml:space="preserve">. </t>
    </r>
    <r>
      <rPr>
        <sz val="10"/>
        <rFont val="Calibri"/>
        <family val="2"/>
        <charset val="204"/>
      </rPr>
      <t xml:space="preserve">Додаток №1 до Договору №01/10 від 01.10.2021 року - калькуляція вартості послуг  від 01.10.2021 року.. Рахунок № 1021-2 вд 12.10.2021 року на суму 12630,00 </t>
    </r>
  </si>
  <si>
    <r>
      <t>Д</t>
    </r>
    <r>
      <rPr>
        <sz val="10"/>
        <rFont val="Calibri"/>
        <family val="2"/>
        <charset val="204"/>
      </rPr>
      <t>оговір №4/08-СМ від 04.08.2021 р,сума Договору 79400,00грн, Додаток №1 від 04.08.2021р - Калькуяція вартості послуг з виготовлення відео контекту з 05.08.2021 р по 08.08.2021 р. втому разі відеозйомка -40400грн,відеомонтаж  39000,00 грн та корекція кольору 19600,00грн Згода на обробку персональних даних від 04.08.2021 року, витяг з ЄДРОУ,.Протокол засідання робочої групи від 20.07.2021 р. Цінова пропозиція від 05.07.2021 р. ФОП ГРИНЧУК І.В.- 85,9 тис. грн.ФОП ЄВСЕЄНКО Б.Б. вд 20.07.2021 р - 85,75 тис грн.,  ФОП Кличєв М.Б. від 20.08.2021 р  - 84,0 тис. грн.ФОП Антащук О.О. від 08.07.2021 р. 81,7 тис. грн.</t>
    </r>
  </si>
  <si>
    <t>ПД № 221 від 01.10.2021 року на суму 79400,00грн. В тому разі  ст. 13.2.1   39000,00 грн ст.13.4.10  40400,00 грн</t>
  </si>
  <si>
    <r>
      <t>Відокремлени</t>
    </r>
    <r>
      <rPr>
        <b/>
        <sz val="10"/>
        <color theme="1"/>
        <rFont val="Calibri"/>
        <family val="2"/>
        <charset val="204"/>
      </rPr>
      <t>й підрозділ Авіокомпанія ПАТ "Мотор Січ</t>
    </r>
    <r>
      <rPr>
        <sz val="10"/>
        <color theme="1"/>
        <rFont val="Calibri"/>
        <family val="2"/>
        <charset val="204"/>
      </rPr>
      <t>",  код ЄДРПОУ 25221972, Запоріжжя, п-т Моторобудівників, 15.</t>
    </r>
  </si>
  <si>
    <r>
      <t xml:space="preserve">Рахунок № 281 від 27.09.2021р..На суму 2723,00грн. Лист ПП Експо-Юг-Сервіс від 27.09.2021р. за № 28/09  на придбання квитка Катерушин Валерій паспорт FG 886714 від11/07/2017р. авіаквитки на суму </t>
    </r>
    <r>
      <rPr>
        <b/>
        <sz val="10"/>
        <rFont val="Calibri"/>
        <family val="2"/>
        <charset val="204"/>
      </rPr>
      <t>2717</t>
    </r>
    <r>
      <rPr>
        <sz val="10"/>
        <rFont val="Calibri"/>
        <family val="2"/>
        <charset val="204"/>
      </rPr>
      <t xml:space="preserve"> грн, посадочний талон 0112440125506 Катерушин Валерій від 10.10.2021 р."</t>
    </r>
  </si>
  <si>
    <r>
      <t xml:space="preserve">Паспорт </t>
    </r>
    <r>
      <rPr>
        <b/>
        <sz val="10"/>
        <color theme="1"/>
        <rFont val="Calibri"/>
        <family val="2"/>
        <charset val="204"/>
      </rPr>
      <t>Дуда  Тамара</t>
    </r>
    <r>
      <rPr>
        <sz val="10"/>
        <color theme="1"/>
        <rFont val="Calibri"/>
        <family val="2"/>
        <charset val="204"/>
      </rPr>
      <t xml:space="preserve"> Анатоліївна,№ 005748886 виданий органом 8017 від 16.02.2021 року,Згода на обробку персональних даних Дуда Тамара Анатоліївна від 06.08.2021 р.</t>
    </r>
  </si>
  <si>
    <r>
      <rPr>
        <b/>
        <sz val="10"/>
        <color theme="1"/>
        <rFont val="Calibri"/>
        <family val="2"/>
        <charset val="204"/>
      </rPr>
      <t>Славинский Остап Тарасіви</t>
    </r>
    <r>
      <rPr>
        <sz val="10"/>
        <color theme="1"/>
        <rFont val="Calibri"/>
        <family val="2"/>
        <charset val="204"/>
      </rPr>
      <t>ч, паспорт КА 000180, виданий 03.07.1995 р.ІПН2877615835,Довідка за реквізитами Славинський Остап від 29.10.2020 р.</t>
    </r>
  </si>
  <si>
    <r>
      <t xml:space="preserve">Посадочний документ 000в42с6-ЕЕ11-ДFF6-0001 від 19.07.2021р.Славинський Остап  сума </t>
    </r>
    <r>
      <rPr>
        <b/>
        <sz val="10"/>
        <color theme="1"/>
        <rFont val="Calibri"/>
        <family val="2"/>
        <charset val="204"/>
      </rPr>
      <t>658,14</t>
    </r>
    <r>
      <rPr>
        <sz val="10"/>
        <color theme="1"/>
        <rFont val="Calibri"/>
        <family val="2"/>
        <charset val="204"/>
      </rPr>
      <t>грн, Посадочний докумнт 000в42с6-F03F-0001 від 19.07.2021р Славинський Остап сума</t>
    </r>
    <r>
      <rPr>
        <b/>
        <sz val="10"/>
        <color theme="1"/>
        <rFont val="Calibri"/>
        <family val="2"/>
        <charset val="204"/>
      </rPr>
      <t xml:space="preserve"> 659,53</t>
    </r>
    <r>
      <rPr>
        <sz val="10"/>
        <color theme="1"/>
        <rFont val="Calibri"/>
        <family val="2"/>
        <charset val="204"/>
      </rPr>
      <t xml:space="preserve"> грн Посадочний документ 000в42сf-6FB1-656F-0001 від 28.07.2021 р. на суму </t>
    </r>
    <r>
      <rPr>
        <b/>
        <sz val="10"/>
        <color theme="1"/>
        <rFont val="Calibri"/>
        <family val="2"/>
        <charset val="204"/>
      </rPr>
      <t>724,44</t>
    </r>
    <r>
      <rPr>
        <sz val="10"/>
        <color theme="1"/>
        <rFont val="Calibri"/>
        <family val="2"/>
        <charset val="204"/>
      </rPr>
      <t xml:space="preserve"> грн. </t>
    </r>
  </si>
  <si>
    <r>
      <rPr>
        <b/>
        <sz val="10"/>
        <color theme="1"/>
        <rFont val="Calibri"/>
        <family val="2"/>
        <charset val="204"/>
      </rPr>
      <t xml:space="preserve">Малигон Ганна Миколаівна </t>
    </r>
    <r>
      <rPr>
        <sz val="10"/>
        <color theme="1"/>
        <rFont val="Calibri"/>
        <family val="2"/>
        <charset val="204"/>
      </rPr>
      <t>, паспорт №005493682 від 01.12.2020 р. ІПН3083611244,Справка про реквизити рахунку від 07.08.2021 р.</t>
    </r>
  </si>
  <si>
    <r>
      <rPr>
        <b/>
        <sz val="10"/>
        <color theme="1"/>
        <rFont val="Calibri"/>
        <family val="2"/>
        <charset val="204"/>
      </rPr>
      <t>Хрякова Ганна Сергіївна</t>
    </r>
    <r>
      <rPr>
        <sz val="10"/>
        <color theme="1"/>
        <rFont val="Calibri"/>
        <family val="2"/>
        <charset val="204"/>
      </rPr>
      <t>, ІПН3549911908, паспорт серія Кс № 961088 від 12.07.2013 Довідка про наявність рахунку від 06.07.2021р.</t>
    </r>
  </si>
  <si>
    <r>
      <t>Посадочний документ 000в42сf-DF61-F4FD-0001 від 28.07.2021р. на суму</t>
    </r>
    <r>
      <rPr>
        <b/>
        <sz val="10"/>
        <color theme="1"/>
        <rFont val="Calibri"/>
        <family val="2"/>
        <charset val="204"/>
      </rPr>
      <t xml:space="preserve"> 351,74</t>
    </r>
    <r>
      <rPr>
        <sz val="10"/>
        <color theme="1"/>
        <rFont val="Calibri"/>
        <family val="2"/>
        <charset val="204"/>
      </rPr>
      <t xml:space="preserve"> грн.Посадочний документ 000в42сf-4F61-F581-0001від 28.07.2021р. на суму</t>
    </r>
    <r>
      <rPr>
        <b/>
        <sz val="10"/>
        <color theme="1"/>
        <rFont val="Calibri"/>
        <family val="2"/>
        <charset val="204"/>
      </rPr>
      <t xml:space="preserve"> 475,72</t>
    </r>
    <r>
      <rPr>
        <sz val="10"/>
        <color theme="1"/>
        <rFont val="Calibri"/>
        <family val="2"/>
        <charset val="204"/>
      </rPr>
      <t xml:space="preserve"> грн.Посадочний документ 000в42сf-1EA1-F5FD-0001 від 28.07.2021р. на суму </t>
    </r>
    <r>
      <rPr>
        <b/>
        <sz val="10"/>
        <color theme="1"/>
        <rFont val="Calibri"/>
        <family val="2"/>
        <charset val="204"/>
      </rPr>
      <t>518</t>
    </r>
    <r>
      <rPr>
        <sz val="10"/>
        <color theme="1"/>
        <rFont val="Calibri"/>
        <family val="2"/>
        <charset val="204"/>
      </rPr>
      <t xml:space="preserve">,50грн. Посадочний документ 000в42сf-5E71-F668-0001 від 28.07.2021р на суму </t>
    </r>
    <r>
      <rPr>
        <b/>
        <sz val="10"/>
        <color theme="1"/>
        <rFont val="Calibri"/>
        <family val="2"/>
        <charset val="204"/>
      </rPr>
      <t>514,53</t>
    </r>
    <r>
      <rPr>
        <sz val="10"/>
        <color theme="1"/>
        <rFont val="Calibri"/>
        <family val="2"/>
        <charset val="204"/>
      </rPr>
      <t xml:space="preserve"> грн.</t>
    </r>
  </si>
  <si>
    <r>
      <t>Фізична особа</t>
    </r>
    <r>
      <rPr>
        <b/>
        <sz val="10"/>
        <color theme="1"/>
        <rFont val="Calibri"/>
        <family val="2"/>
        <charset val="204"/>
      </rPr>
      <t xml:space="preserve"> Трофименко Тетяна Михайлівна</t>
    </r>
    <r>
      <rPr>
        <sz val="10"/>
        <color theme="1"/>
        <rFont val="Calibri"/>
        <family val="2"/>
        <charset val="204"/>
      </rPr>
      <t>, ІПН2873416302, паспорт Серія ММ297137 , виданий МВД Дзержинського РВХМУ УВС України в Харківській області 16.11.1999 року,</t>
    </r>
  </si>
  <si>
    <r>
      <t xml:space="preserve"> Посадочний документ 000в42с4-BE1F-DB85-0001 від 17/07/2021h року на суму  </t>
    </r>
    <r>
      <rPr>
        <b/>
        <sz val="10"/>
        <color theme="1"/>
        <rFont val="Calibri"/>
        <family val="2"/>
        <charset val="204"/>
      </rPr>
      <t xml:space="preserve">692,47 </t>
    </r>
    <r>
      <rPr>
        <sz val="10"/>
        <color theme="1"/>
        <rFont val="Calibri"/>
        <family val="2"/>
        <charset val="204"/>
      </rPr>
      <t xml:space="preserve">грн Трофименко Тетяна, Посадочний документ 000в4-AFD4-C4DA-0001 від 20.07.2021 року на суму </t>
    </r>
    <r>
      <rPr>
        <b/>
        <sz val="10"/>
        <color theme="1"/>
        <rFont val="Calibri"/>
        <family val="2"/>
        <charset val="204"/>
      </rPr>
      <t>828,22</t>
    </r>
    <r>
      <rPr>
        <sz val="10"/>
        <color theme="1"/>
        <rFont val="Calibri"/>
        <family val="2"/>
        <charset val="204"/>
      </rPr>
      <t>грн Трофименко Тетяна,</t>
    </r>
  </si>
  <si>
    <r>
      <t>Фізична особа</t>
    </r>
    <r>
      <rPr>
        <b/>
        <sz val="10"/>
        <color theme="1"/>
        <rFont val="Calibri"/>
        <family val="2"/>
        <charset val="204"/>
      </rPr>
      <t xml:space="preserve"> Водяний Антон Васильович</t>
    </r>
    <r>
      <rPr>
        <sz val="10"/>
        <color theme="1"/>
        <rFont val="Calibri"/>
        <family val="2"/>
        <charset val="204"/>
      </rPr>
      <t>, ІПН2992111334, паспорт серія СС№433558 виданий Коломийським МВ УМВС Українги в Івано Франківській області 02.01.1998 року.</t>
    </r>
  </si>
  <si>
    <r>
      <t xml:space="preserve">Фізична особа </t>
    </r>
    <r>
      <rPr>
        <b/>
        <sz val="10"/>
        <color theme="1"/>
        <rFont val="Calibri"/>
        <family val="2"/>
        <charset val="204"/>
      </rPr>
      <t>Дубчак Ольга Петрівна, І</t>
    </r>
    <r>
      <rPr>
        <sz val="10"/>
        <color theme="1"/>
        <rFont val="Calibri"/>
        <family val="2"/>
        <charset val="204"/>
      </rPr>
      <t>ПН3065910824, паспорт серыя ОО№360353 , виданий Мінським РУ ГУ МВС України в місты Київ 10.05.2000 року</t>
    </r>
  </si>
  <si>
    <r>
      <t xml:space="preserve"> Фізична особа підприємець </t>
    </r>
    <r>
      <rPr>
        <b/>
        <sz val="10"/>
        <color theme="1"/>
        <rFont val="Calibri"/>
        <family val="2"/>
        <charset val="204"/>
      </rPr>
      <t>БАРДУС СЕРГІЙ МИКОЛАЙОВИЧ</t>
    </r>
    <r>
      <rPr>
        <sz val="10"/>
        <color theme="1"/>
        <rFont val="Calibri"/>
        <family val="2"/>
        <charset val="204"/>
      </rPr>
      <t>,  ІПН 2649819615, 
Україна, 65123, Одеська обл., місто Одеса, ВУЛИЦЯ АКАДЕМІКА ЗАБОЛОТНОГО, будинок 66, квартира 62, виписка з ЄДРОУ від 03.02.2017 року витяг з реєстру платників единогоподатку від 24.02.2017 року</t>
    </r>
  </si>
  <si>
    <r>
      <t>Договір №4/08-СМ від 04.08.2021 року,сума Договору 79400,00грн.Додаток №1 від 04.08.2021р- Калькуяція вартості послуг з виготовлення відео контекту з 05.08.2021 р по 08.08.2021 р. втому разі відеозйомка -40400грн,віделмонтаж  19400,0грн та корекція кольору 19600,грн Згода на обробку</t>
    </r>
    <r>
      <rPr>
        <sz val="10"/>
        <rFont val="Calibri"/>
        <family val="2"/>
        <charset val="204"/>
      </rPr>
      <t xml:space="preserve"> персональних даних від 04.08.2021 року, витяг з ЄДРОУ</t>
    </r>
  </si>
  <si>
    <r>
      <t>Фізична особа</t>
    </r>
    <r>
      <rPr>
        <b/>
        <sz val="10"/>
        <rFont val="Calibri"/>
        <family val="2"/>
        <charset val="204"/>
      </rPr>
      <t xml:space="preserve"> Земський Дмитро Володимирович</t>
    </r>
    <r>
      <rPr>
        <sz val="10"/>
        <rFont val="Calibri"/>
        <family val="2"/>
        <charset val="204"/>
      </rPr>
      <t>, код ІПД 2655721255,паспорт серія КЕ №465931, виданий Центральним РВ ОМУ УМВС України в Одеській області 11.11.1996року, Згода на обробку персональних даних від 05.08.2021 р.довідка про реквізити поточного рахунку  від 16.10.2021 року</t>
    </r>
  </si>
  <si>
    <r>
      <t>ПД№267 від 20.10.2021року ВЗ на суму 186,60 грн, ПД№266 від 20.10.2021 року ПДФ на суму 2236,4</t>
    </r>
    <r>
      <rPr>
        <sz val="10"/>
        <color theme="1"/>
        <rFont val="Calibri"/>
        <family val="2"/>
        <charset val="204"/>
      </rPr>
      <t xml:space="preserve">0грн., видатковий касовий ордер №39 від 20.10.2021 року винагорода на суму  10000,00грн ПД №268 від 20.10.2021 року  ЕСВ на суму 2733,06грн </t>
    </r>
  </si>
  <si>
    <r>
      <t xml:space="preserve">Фізична особа підпрємець </t>
    </r>
    <r>
      <rPr>
        <b/>
        <sz val="10"/>
        <color theme="1"/>
        <rFont val="Calibri"/>
        <family val="2"/>
        <charset val="204"/>
      </rPr>
      <t>КОЛІСНІЧЕНКО СВІТЛАНА ЮРІЇВНА</t>
    </r>
    <r>
      <rPr>
        <sz val="10"/>
        <color theme="1"/>
        <rFont val="Calibri"/>
        <family val="2"/>
        <charset val="204"/>
      </rPr>
      <t>, ІПН 3106319620,Україна, 65074, Одеська обл., місто Одеса, ВУЛИЦЯ АКАДЕМІКА ФІЛАТОВА, будинок 72, кімната 56,57,61</t>
    </r>
  </si>
  <si>
    <r>
      <t xml:space="preserve">фізична особа підпрємець  </t>
    </r>
    <r>
      <rPr>
        <b/>
        <sz val="10"/>
        <rFont val="Calibri"/>
        <family val="2"/>
        <charset val="204"/>
      </rPr>
      <t>ВАСИЛЕНКО ЮРІЙ ГРИГОРОВИЧ</t>
    </r>
    <r>
      <rPr>
        <sz val="10"/>
        <rFont val="Calibri"/>
        <family val="2"/>
        <charset val="204"/>
      </rPr>
      <t>, код ІПД 2750703677, Україна, 03134, місто Київ, ВУЛИЦЯ БУЛГАКОВА, будинок 2А, квартира 69, виписка з ЄДР від 01.08.2019 р.</t>
    </r>
  </si>
  <si>
    <r>
      <t xml:space="preserve">Фізична особа підприємець  
</t>
    </r>
    <r>
      <rPr>
        <b/>
        <sz val="10"/>
        <color theme="1"/>
        <rFont val="Calibri"/>
        <family val="2"/>
        <charset val="204"/>
      </rPr>
      <t>ВОСКОБОЙНИК ОЛЕГ ОЛЕКСІЙОВИЧ І</t>
    </r>
    <r>
      <rPr>
        <sz val="10"/>
        <color theme="1"/>
        <rFont val="Calibri"/>
        <family val="2"/>
        <charset val="204"/>
      </rPr>
      <t>ПН 2753217734,Україна, 61096, Харківська обл., місто Харків, вул.Горбанівська(пн), будинок 10 Д, витя з ЄДР від 11.02.2014р.Виписка з ЄДР від 16.06.2021р Свідоцтво платника единого податку від 04.01.2012 р.Картка платника подактів від 14.10.1998р.паспорт серія ЬН №195627 від 18.10.2001р.</t>
    </r>
  </si>
  <si>
    <r>
      <t xml:space="preserve">Фізична особа </t>
    </r>
    <r>
      <rPr>
        <b/>
        <sz val="10"/>
        <color theme="1"/>
        <rFont val="Calibri"/>
        <family val="2"/>
        <charset val="204"/>
      </rPr>
      <t>Володарський Юрій Алімови</t>
    </r>
    <r>
      <rPr>
        <sz val="10"/>
        <color theme="1"/>
        <rFont val="Calibri"/>
        <family val="2"/>
        <charset val="204"/>
      </rPr>
      <t xml:space="preserve">ч, ІПН 2389512073,Паспорт серія ОН №671532 , виданий Радянським РУ ГУ УМВС України в м. Київ 22.01.1998 року, Згода на обробку персональних даних відь 05.08.2021року,Довідка про присвоєння ІПН від 07.08.1998 року, </t>
    </r>
  </si>
  <si>
    <r>
      <t xml:space="preserve">Цивільно правовий договір б/н від 05.08.2021 року </t>
    </r>
    <r>
      <rPr>
        <b/>
        <sz val="10"/>
        <color theme="1"/>
        <rFont val="Calibri"/>
        <family val="2"/>
        <charset val="204"/>
      </rPr>
      <t>Володарський Юрій Алімовичн</t>
    </r>
    <r>
      <rPr>
        <sz val="10"/>
        <color theme="1"/>
        <rFont val="Calibri"/>
        <family val="2"/>
        <charset val="204"/>
      </rPr>
      <t>а суму 13639,60 грн, в ому разі винагорода 11180,20 грн , Есв 2459,60 грн. Довідка про відкриття рахунку від 06.08.2021р.</t>
    </r>
  </si>
  <si>
    <r>
      <t>Акт приймання передачі  наданих послуг від 07.08.2021року на суму 13639,80,00 грн.</t>
    </r>
    <r>
      <rPr>
        <b/>
        <sz val="10"/>
        <color theme="1"/>
        <rFont val="Calibri"/>
        <family val="2"/>
        <charset val="204"/>
      </rPr>
      <t xml:space="preserve">  В тому разі винагорода 11170,20 грн + ЕСВ 22%2459,60грн. Володарський Юрій Алімовичн</t>
    </r>
    <r>
      <rPr>
        <sz val="10"/>
        <color theme="1"/>
        <rFont val="Calibri"/>
        <family val="2"/>
        <charset val="204"/>
      </rPr>
      <t xml:space="preserve">а. </t>
    </r>
  </si>
  <si>
    <r>
      <t>ПД№100 від 09.08.2021р на суму 9000,07 грн винагорода, ПД№99 від 09.08.2021 року на суму 2459,60 грн ЕСВ, ПД№98 від 09.08.2021року на суму 167,70грн ВЗ, ПД№97 від 09.08.2021 року на суму 2012,43 грн. ПДФО-</t>
    </r>
    <r>
      <rPr>
        <b/>
        <sz val="10"/>
        <color theme="1"/>
        <rFont val="Calibri"/>
        <family val="2"/>
        <charset val="204"/>
      </rPr>
      <t>Володарський Ю.А</t>
    </r>
    <r>
      <rPr>
        <sz val="10"/>
        <color theme="1"/>
        <rFont val="Calibri"/>
        <family val="2"/>
        <charset val="204"/>
      </rPr>
      <t xml:space="preserve">.  </t>
    </r>
  </si>
  <si>
    <r>
      <t xml:space="preserve">Фізична особа </t>
    </r>
    <r>
      <rPr>
        <b/>
        <sz val="10"/>
        <color theme="1"/>
        <rFont val="Calibri"/>
        <family val="2"/>
        <charset val="204"/>
      </rPr>
      <t>Трофименко Тетяна Михайлівн</t>
    </r>
    <r>
      <rPr>
        <sz val="10"/>
        <color theme="1"/>
        <rFont val="Calibri"/>
        <family val="2"/>
        <charset val="204"/>
      </rPr>
      <t>а, ІПН2873416302, паспорт Серія ММ297137 , виданий МВД Дзержинського РВХМУ УВС України в Харківській області 16.11.1999 року, Довідка про присвоення ІН від 09.08.2000р.Згода на обробку персональних даних від 05.08.2021 р</t>
    </r>
  </si>
  <si>
    <r>
      <t xml:space="preserve">Фізична особа </t>
    </r>
    <r>
      <rPr>
        <b/>
        <sz val="10"/>
        <color theme="1"/>
        <rFont val="Calibri"/>
        <family val="2"/>
        <charset val="204"/>
      </rPr>
      <t>Матюша Павло Анатолійови</t>
    </r>
    <r>
      <rPr>
        <sz val="10"/>
        <color theme="1"/>
        <rFont val="Calibri"/>
        <family val="2"/>
        <charset val="204"/>
      </rPr>
      <t>, ІПН 3051722358, паспорт серія СР3631342, виданий Рівненським МВ УМВС України в Рівненській області 29.10.1999 року, довідка про відкритий рахунок в АТ Райфайзен банк Аваль б/н, Згода  на обробку персональних даних від 05.08.2021 року.Фізична особа Концевич Олена Анатоліївна, ІПН 3062204684, паспорт КВ№705666 виданий Личаківським РВ УМВС України  у Львівській області 12.06.2001 року</t>
    </r>
  </si>
  <si>
    <r>
      <t>Фізична особ</t>
    </r>
    <r>
      <rPr>
        <b/>
        <sz val="10"/>
        <color theme="1"/>
        <rFont val="Calibri"/>
        <family val="2"/>
        <charset val="204"/>
      </rPr>
      <t>а Концевич Олена Анатоліївна</t>
    </r>
    <r>
      <rPr>
        <sz val="10"/>
        <color theme="1"/>
        <rFont val="Calibri"/>
        <family val="2"/>
        <charset val="204"/>
      </rPr>
      <t>, ІПН 3062204684, паспорт КВ№705666 виданий Личаківським РВ УМВС України  у Львівській області 12.06.2001 року,</t>
    </r>
  </si>
  <si>
    <r>
      <t xml:space="preserve">Фізична особа </t>
    </r>
    <r>
      <rPr>
        <b/>
        <sz val="10"/>
        <color theme="1"/>
        <rFont val="Calibri"/>
        <family val="2"/>
        <charset val="204"/>
      </rPr>
      <t>Сербін Роман Віталійович,</t>
    </r>
    <r>
      <rPr>
        <sz val="10"/>
        <color theme="1"/>
        <rFont val="Calibri"/>
        <family val="2"/>
        <charset val="204"/>
      </rPr>
      <t xml:space="preserve"> ІПН3143421013, паспорт серія КК №963311 виданий Маліновським РВ  ОМУ УВМС України в Одеській області 20.06.2002 р. </t>
    </r>
  </si>
  <si>
    <r>
      <t>Фізична особа</t>
    </r>
    <r>
      <rPr>
        <b/>
        <sz val="10"/>
        <color theme="1"/>
        <rFont val="Calibri"/>
        <family val="2"/>
        <charset val="204"/>
      </rPr>
      <t xml:space="preserve"> Щурова Тетяна Василівна, </t>
    </r>
    <r>
      <rPr>
        <sz val="10"/>
        <color theme="1"/>
        <rFont val="Calibri"/>
        <family val="2"/>
        <charset val="204"/>
      </rPr>
      <t>ІПН 1686908048, паспорт серія № КЕ 550824 , виданий Малиновським РВ УМВС України в Одеській області 14.02.1997 року.</t>
    </r>
  </si>
  <si>
    <r>
      <t xml:space="preserve">Фізична особа </t>
    </r>
    <r>
      <rPr>
        <b/>
        <sz val="10"/>
        <color theme="1"/>
        <rFont val="Calibri"/>
        <family val="2"/>
        <charset val="204"/>
      </rPr>
      <t>Мельниченко Лілія Олексіївна</t>
    </r>
    <r>
      <rPr>
        <sz val="10"/>
        <color theme="1"/>
        <rFont val="Calibri"/>
        <family val="2"/>
        <charset val="204"/>
      </rPr>
      <t>, ІПН 2071008647, паспорт серія КЕ № 312858 , виданий Ленінським РВ УМВС України в Одеській області 10.07.1996року</t>
    </r>
  </si>
  <si>
    <r>
      <t>Фізична особа</t>
    </r>
    <r>
      <rPr>
        <b/>
        <sz val="10"/>
        <rFont val="Calibri"/>
        <family val="2"/>
        <charset val="204"/>
      </rPr>
      <t xml:space="preserve"> Петухов Олексій Миколайович,</t>
    </r>
    <r>
      <rPr>
        <sz val="10"/>
        <rFont val="Calibri"/>
        <family val="2"/>
        <charset val="204"/>
      </rPr>
      <t xml:space="preserve"> ІПН 2796614391,паспорт серіяКЕ №410265, виданий Київським РВ УМВС України в Одеській області 15.10.1996 року</t>
    </r>
  </si>
  <si>
    <r>
      <t>Фізична особа</t>
    </r>
    <r>
      <rPr>
        <b/>
        <sz val="10"/>
        <color theme="1"/>
        <rFont val="Calibri"/>
        <family val="2"/>
        <charset val="204"/>
      </rPr>
      <t xml:space="preserve"> Ірванець Олександр Васильович</t>
    </r>
    <r>
      <rPr>
        <sz val="10"/>
        <color theme="1"/>
        <rFont val="Calibri"/>
        <family val="2"/>
        <charset val="204"/>
      </rPr>
      <t>, ІПН 2230417157, паспорт серія СР №392943, виданий Рівненським МУ УМВС Українив Рівненській області 10.03.1998 року,</t>
    </r>
  </si>
  <si>
    <r>
      <t xml:space="preserve">Фізична особа </t>
    </r>
    <r>
      <rPr>
        <b/>
        <sz val="10"/>
        <color theme="1"/>
        <rFont val="Calibri"/>
        <family val="2"/>
        <charset val="204"/>
      </rPr>
      <t>Водяний Антон Васильович, І</t>
    </r>
    <r>
      <rPr>
        <sz val="10"/>
        <color theme="1"/>
        <rFont val="Calibri"/>
        <family val="2"/>
        <charset val="204"/>
      </rPr>
      <t>ПН2992111334, паспорт серія СС№433558 виданий Коломийським МВ УМВС Українги в Івано Франківській області 02.01.1998 року.</t>
    </r>
  </si>
  <si>
    <r>
      <t xml:space="preserve">Фізична особа </t>
    </r>
    <r>
      <rPr>
        <b/>
        <sz val="10"/>
        <color theme="1"/>
        <rFont val="Calibri"/>
        <family val="2"/>
        <charset val="204"/>
      </rPr>
      <t>Трофименко Тетяна Михайлівна, ІПН2873416302, пасп</t>
    </r>
    <r>
      <rPr>
        <sz val="10"/>
        <color theme="1"/>
        <rFont val="Calibri"/>
        <family val="2"/>
        <charset val="204"/>
      </rPr>
      <t>орт Серія ММ297137 , виданий МВД Дзержинського РВХМУ УВС України в Харківській області 16.11.1999 року, Довідка про присвоення ІН від 09.08.2000р.Згода на обробку персональних даних від 05.08.2021 р</t>
    </r>
  </si>
  <si>
    <r>
      <t>Фізична особа</t>
    </r>
    <r>
      <rPr>
        <b/>
        <sz val="10"/>
        <color theme="1"/>
        <rFont val="Calibri"/>
        <family val="2"/>
        <charset val="204"/>
      </rPr>
      <t xml:space="preserve"> Катерушин Валерій Вікторович,</t>
    </r>
    <r>
      <rPr>
        <sz val="10"/>
        <color theme="1"/>
        <rFont val="Calibri"/>
        <family val="2"/>
        <charset val="204"/>
      </rPr>
      <t xml:space="preserve"> ІПН 3215515290, паспорт серія СЕ№690821, виданий Надвірнянським РВ УДМС України в Фванофранківській області 13.06.2014 року</t>
    </r>
  </si>
  <si>
    <r>
      <t xml:space="preserve">ПД№237 11.10.2021 р  ПДФО 514,44 грн., ПД№238 11.10.2021 р.ВЗ 42,87 </t>
    </r>
    <r>
      <rPr>
        <sz val="10"/>
        <rFont val="Calibri"/>
        <family val="2"/>
        <charset val="204"/>
      </rPr>
      <t>грн.,ПД№240 11.10.2021 р. Винагорода 2300,69 грн</t>
    </r>
  </si>
  <si>
    <r>
      <t>Фізична особа</t>
    </r>
    <r>
      <rPr>
        <b/>
        <sz val="10"/>
        <color theme="1"/>
        <rFont val="Calibri"/>
        <family val="2"/>
        <charset val="204"/>
      </rPr>
      <t xml:space="preserve"> Концевич Олена Анатоліївна</t>
    </r>
    <r>
      <rPr>
        <sz val="10"/>
        <color theme="1"/>
        <rFont val="Calibri"/>
        <family val="2"/>
        <charset val="204"/>
      </rPr>
      <t>, ІПН 3062204684, паспорт КВ№705666 виданий Личаківським РВ УМВС України  у Львівській області 12.06.2001 року,</t>
    </r>
  </si>
  <si>
    <r>
      <t>Цивільно правой договір від 05.10.2021 ррку на суму 15156,00 грн в тому разі винагорода12423,00 грн, есв 2733,06 грн</t>
    </r>
    <r>
      <rPr>
        <sz val="10"/>
        <rFont val="Calibri"/>
        <family val="2"/>
        <charset val="204"/>
      </rPr>
      <t>. картка платника податків ваід 07.03.2003 року, Згода на обробку персональних даних від 09.10.2021 року, реквізити картки Приватбанк та рахунку.</t>
    </r>
  </si>
  <si>
    <r>
      <t xml:space="preserve">Фізична особа </t>
    </r>
    <r>
      <rPr>
        <b/>
        <sz val="10"/>
        <color theme="1"/>
        <rFont val="Calibri"/>
        <family val="2"/>
        <charset val="204"/>
      </rPr>
      <t>Гусайлов Володимир Ігорович</t>
    </r>
    <r>
      <rPr>
        <sz val="10"/>
        <color theme="1"/>
        <rFont val="Calibri"/>
        <family val="2"/>
        <charset val="204"/>
      </rPr>
      <t xml:space="preserve"> ,ІПН 3097718913, паспорт серія КК №602029, виданий Комінтернівським РВ УМВС України в Одеській області 04.01.2001 року</t>
    </r>
  </si>
  <si>
    <r>
      <t xml:space="preserve">Фізична особа </t>
    </r>
    <r>
      <rPr>
        <b/>
        <sz val="10"/>
        <color theme="1"/>
        <rFont val="Calibri"/>
        <family val="2"/>
        <charset val="204"/>
      </rPr>
      <t>Володарський Юрій Алімович</t>
    </r>
    <r>
      <rPr>
        <sz val="10"/>
        <color theme="1"/>
        <rFont val="Calibri"/>
        <family val="2"/>
        <charset val="204"/>
      </rPr>
      <t xml:space="preserve">, ІПН 2389512073,Паспорт серія ОН №671532 , виданий Радянським РУ ГУ УМВС України в м. Київ 22.01.1998 року, Згода на обробку персональних даних відь 05.08.2021року,Довідка про присвоєння ІПН від 07.08.1998 року, </t>
    </r>
  </si>
  <si>
    <r>
      <t xml:space="preserve">Акт приймання передачі  наданих послуг від 07.08.2021року на суму 13639,80,00 грн. </t>
    </r>
    <r>
      <rPr>
        <b/>
        <sz val="10"/>
        <color theme="1"/>
        <rFont val="Calibri"/>
        <family val="2"/>
        <charset val="204"/>
      </rPr>
      <t>Володарський Юрій Алімови</t>
    </r>
    <r>
      <rPr>
        <sz val="10"/>
        <color theme="1"/>
        <rFont val="Calibri"/>
        <family val="2"/>
        <charset val="204"/>
      </rPr>
      <t>ча. .</t>
    </r>
  </si>
  <si>
    <r>
      <t xml:space="preserve"> ПД№99 від 09.08.2021 року на суму 2459,60 грн ЕСВ-</t>
    </r>
    <r>
      <rPr>
        <b/>
        <sz val="10"/>
        <color theme="1"/>
        <rFont val="Calibri"/>
        <family val="2"/>
        <charset val="204"/>
      </rPr>
      <t xml:space="preserve">Володарський Ю.А. </t>
    </r>
    <r>
      <rPr>
        <sz val="10"/>
        <color theme="1"/>
        <rFont val="Calibri"/>
        <family val="2"/>
        <charset val="204"/>
      </rPr>
      <t xml:space="preserve">, </t>
    </r>
  </si>
  <si>
    <r>
      <t>ПД№2532 від 05.08.2021 року на суму 20000,00, ПД№244 від 12.10.2021 року      на суму  43860,00 грн  в т.р. : ст 4. 2 . 10 -  21860,00 грн. ст.</t>
    </r>
    <r>
      <rPr>
        <b/>
        <sz val="10"/>
        <color theme="1"/>
        <rFont val="Calibri"/>
        <family val="2"/>
        <charset val="204"/>
      </rPr>
      <t xml:space="preserve"> 4.2.11- 2000,00</t>
    </r>
    <r>
      <rPr>
        <sz val="10"/>
        <color theme="1"/>
        <rFont val="Calibri"/>
        <family val="2"/>
        <charset val="204"/>
      </rPr>
      <t xml:space="preserve"> грн., ст. 13.4.20  - 20000,00 грн</t>
    </r>
  </si>
  <si>
    <r>
      <t>Договір №01/09 - РК від 01.09.2021 р.</t>
    </r>
    <r>
      <rPr>
        <sz val="10"/>
        <color rgb="FFFF0000"/>
        <rFont val="Calibri"/>
        <family val="2"/>
        <charset val="204"/>
      </rPr>
      <t xml:space="preserve"> </t>
    </r>
    <r>
      <rPr>
        <sz val="10"/>
        <rFont val="Calibri"/>
        <family val="2"/>
        <charset val="204"/>
      </rPr>
      <t>Рахунок  №07092021/01 від 07.09.2021р на суму 4850,00грн СПД Ліптуга І.Л.</t>
    </r>
  </si>
  <si>
    <r>
      <t xml:space="preserve">Фізична особа підприємець </t>
    </r>
    <r>
      <rPr>
        <b/>
        <sz val="10"/>
        <color theme="1"/>
        <rFont val="Calibri"/>
        <family val="2"/>
        <charset val="204"/>
      </rPr>
      <t xml:space="preserve">Сичова Яна Сергіївна, </t>
    </r>
    <r>
      <rPr>
        <sz val="10"/>
        <color theme="1"/>
        <rFont val="Calibri"/>
        <family val="2"/>
        <charset val="204"/>
      </rPr>
      <t>ІПН2896712467, Овідіопольський район, с Лиманка, вул. Коралова, буд. 1, ап 18, паспор  серія ЕЛ №028180 від 12.10.1995 р.0, довідка про присвоєння ІН  від 22.07.2021р.Виписка з єдрпо 22.04.2019 р., витяг з реєстру платників ежиного податку від 09.09.2019 р.</t>
    </r>
  </si>
  <si>
    <r>
      <t xml:space="preserve">Фізична особа підприємець </t>
    </r>
    <r>
      <rPr>
        <b/>
        <sz val="10"/>
        <color theme="1"/>
        <rFont val="Calibri"/>
        <family val="2"/>
        <charset val="204"/>
      </rPr>
      <t xml:space="preserve">РОМАНОВА НАТАЛІЯ ЄВГЕНІВНА </t>
    </r>
    <r>
      <rPr>
        <sz val="10"/>
        <color theme="1"/>
        <rFont val="Calibri"/>
        <family val="2"/>
        <charset val="204"/>
      </rPr>
      <t>,ІПН 2325107482,Україна, 65045, Одеська обл., місто Одеса, ВУЛИЦЯ НОВОСЕЛЬСЬКОГО, будинок 99, квартира 12. Фізична особа підприємець БАРДУС СЕРГІЙ МИКОЛАЙОВИЧ,  ІПН 2649819615,ВУЛИЦЯ АКАДЕМІКА ЗАБОЛОТНОГО, будинок 66, квартира 62</t>
    </r>
  </si>
  <si>
    <r>
      <t xml:space="preserve">Фізична о соба підприємець </t>
    </r>
    <r>
      <rPr>
        <b/>
        <sz val="10"/>
        <rFont val="Calibri"/>
        <family val="2"/>
        <charset val="204"/>
      </rPr>
      <t>ШИПКОВ ЮРІЙ МИХАЙЛОВИЧ</t>
    </r>
    <r>
      <rPr>
        <sz val="10"/>
        <rFont val="Calibri"/>
        <family val="2"/>
        <charset val="204"/>
      </rPr>
      <t>, код платника податків 3048921814   	
Україна, 65026, Одеська обл., місто Одеса, ПРОВУЛОК ВІЦЕ - АДМІРАЛА ЖУКОВА, будинок 12, квартира 11, Свідоцтво про державну реєстрацію від 30.08.2006 р. Виписка з ЄДР від , витяг з реєстру платників единого податку від 04.07.2019 року №с1915533403061  , Паспорт серія КК№292974, виданий Жовтневим РВ ОМУ УМВС Україги в Одеській області  від 14.10.1998 р Довідка про Реквізити поточного рахунку ФОП від 03.09.2020 року,Свідоцтво платника единого податку від 01.01.2012 року.</t>
    </r>
  </si>
  <si>
    <r>
      <t>ПД№244 від 12.10.2021 року      на суму  43860,00 грн  в т.р. : ст 4. 2 . 10 -  21860,00 грн. ст.</t>
    </r>
    <r>
      <rPr>
        <b/>
        <sz val="10"/>
        <color theme="1"/>
        <rFont val="Calibri"/>
        <family val="2"/>
        <charset val="204"/>
      </rPr>
      <t xml:space="preserve"> 4.2.11- 2000,00</t>
    </r>
    <r>
      <rPr>
        <sz val="10"/>
        <color theme="1"/>
        <rFont val="Calibri"/>
        <family val="2"/>
        <charset val="204"/>
      </rPr>
      <t xml:space="preserve"> грн., ст. 13.4.20  - 20000,00 грн</t>
    </r>
  </si>
  <si>
    <t>Директорка проекту</t>
  </si>
  <si>
    <t>Ханамерян Б.А.</t>
  </si>
  <si>
    <t xml:space="preserve">до Договору про надання гранту №4EVE11-07335 XXV </t>
  </si>
  <si>
    <t>від "15" липня 2021 року</t>
  </si>
  <si>
    <t>за період з 15 липня 2021 року  по  15 листопада  2021 року</t>
  </si>
  <si>
    <t>Додаток № 4</t>
  </si>
  <si>
    <t>збільшилася вартість у зв'язку з додатковим кріпильним обладнанням та обслуговуванням у дні фестивалю.</t>
  </si>
  <si>
    <t>Сума послуг зменшилася в результаті того, що частина артисті надала послуги на безоплатній основі</t>
  </si>
  <si>
    <t>вартість збільшилась у зв'язку з організацією трансферів, зустріч,екскурсійної програми.</t>
  </si>
  <si>
    <t>до Звіту незалежного аудитора</t>
  </si>
  <si>
    <t>збільшився обсяг робіт</t>
  </si>
  <si>
    <t>Станом на 29.12.2021року.</t>
  </si>
  <si>
    <t>ПД № 317 від 21.12.2021р., на суму 50400,00</t>
  </si>
  <si>
    <t>ПД № 336 від 28.12.2021р., на суму-25000,00 грн.</t>
  </si>
  <si>
    <t>ПД № 335 від 23.12.2021р., на суму- 29900,00 грн.</t>
  </si>
  <si>
    <t>ПД121 13.08.2021р  на суму 38000,00грн.  Та ПД № 323 від 21.12.2021р., на суму-8000,00 грн.</t>
  </si>
  <si>
    <t>ПД № 334 від 23.12.2021р., на суму- 25000,00 грн.</t>
  </si>
  <si>
    <t>ПД№ 324 від 21.12.2021р., на загальну суму- 59800,00, у тому числі по п.4.2.6.-30000,00грн.</t>
  </si>
  <si>
    <t>рахунок №312 від 29.10.2021 р. .2021 року на суму 18185,00</t>
  </si>
  <si>
    <t>Накладна  № 312 від 29.10.2021 року на суму 18185,00грн.</t>
  </si>
  <si>
    <t>ПД № 330 від 21.12.2021р., на загальну суму 18185,00 у т.ч. 180,00 -п.7.1.</t>
  </si>
  <si>
    <t>рахунок №312 від 29.10.2021 р.на суму 18185,00</t>
  </si>
  <si>
    <t>накладна  № 312 від 29.10.2021 року на суму 18185,00грн.</t>
  </si>
  <si>
    <t>ПД № 330 від 21.12.2021р., на загальну суму 18185,00 у т.ч. 900,00 -п.7.2.</t>
  </si>
  <si>
    <t>ПД № 330 від 21.12.2021р., на загальну суму-18185,00, у т.ч. 14000,00 - по п.7.5.</t>
  </si>
  <si>
    <t>рахунок №312 від 29.10.2021 р. на суму 18185,00</t>
  </si>
  <si>
    <t>ПД № 330 від 21.12.2021р., на загальну суму-18185,00, у т.ч. 2000,00 - по п.7.15.</t>
  </si>
  <si>
    <t>ПД № 330 від 21.12.2021р., на загальну суму 18185,00 у т.ч. -800,00 грн по п.7.16</t>
  </si>
  <si>
    <t>ПД № 330 від 21.12.2021р., на загальну суму 18185,00, у т.ч. 305,00 по п.7.17.</t>
  </si>
  <si>
    <t>ПД № 322 від 21.12.2021р., на загальну суму-29950,00, у т.ч. 22125,00 по п.7.3</t>
  </si>
  <si>
    <t>ПД№71 від 29.07.2021 р. сума 28000,00, ПД № 326 від 21.12.2021р., на суму- 44000,00</t>
  </si>
  <si>
    <t xml:space="preserve">ПД№72 від 29.07.202р. На суму 19440,00грн., ПД № 331 від 21.12.2021р., на суму- 23650,00 грн.           </t>
  </si>
  <si>
    <t>ПД№69 від 29.07.2021р на суму 20000,00грн ФОП Колесніченко Л.В. ПД № 325 від 21.12.2021р., на суму-10000,00 грн.</t>
  </si>
  <si>
    <t>ПД№ 31 від 11.11.2021 р на суму 4365,00 грн, ПД № 328 від 21.12.2021р., на суму- 4000,00 грн.</t>
  </si>
  <si>
    <t>ПД № 329 від 21.12.2021р., на суму- 8000,00 грн.</t>
  </si>
  <si>
    <t>ПД№158 вд 28.08.2021 р  на суму 10000,00 грн  та ПД № 327 від 21.12.2021р. На суму-10000,00 грн.</t>
  </si>
  <si>
    <t>ПД № 119 від 12.08.2021 р на суму 10300, 00 грн, Пояснювальна записка віх. номер № 12.08 .2021 р, ПД № 337 від 28.12.2021р., на суму- 12366,00 грн.</t>
  </si>
  <si>
    <t>ПД № 320 від 21.12.2021р., на суму- 29280,00 грн.</t>
  </si>
  <si>
    <t>ПД № 332 від 22.12.2021р. На суму- 29900,00 грн.</t>
  </si>
  <si>
    <t>ПД № 315 від 11.11.2021 р на суму 24364,37 грн, ПД № 319 від 21.12.2021р., наа суму- 41835,63у т.ч. по п.13.2 - 26299,63 грн.</t>
  </si>
  <si>
    <t>ПД № 333 від 22.12.2021р., на суму- 29900,00 грн.</t>
  </si>
  <si>
    <t>ПД № 324 від 21.12.2021р., на загальну суму- 59800,00 грн., у т.ч. 29800,00 грн по п.13.4.8</t>
  </si>
  <si>
    <t>ПД № 322 від 21.12.2021р., на загальну суму-29950,00, у т.ч. 7825,00 грн по п.13.4.9</t>
  </si>
  <si>
    <t>ПД № 321 від 21.12.2021р., на суму- 29500,00 грн.</t>
  </si>
  <si>
    <t>ПД № 319 від 21.12.2021р., на загальну суму- 41835,63 у т.ч. 15536,00 грн по п.13.4.10.</t>
  </si>
  <si>
    <t>ПД № 318 від 21.12.2021р., на суму- 29980,00 грн.</t>
  </si>
  <si>
    <t>Назва конкурсної програми:  XXV Міжнародний книжковий фестиваль "Зелена хвиля"</t>
  </si>
  <si>
    <t>Назва ЛОТ-у: Знакові події в Україні</t>
  </si>
  <si>
    <t>Назва Грантоотримувача: ПП "ЕКСПО-ЮГ-СЕРВІС"</t>
  </si>
  <si>
    <t>Назва проєкту: 4EVE11-07335 XXV Міжнародний книжковий фестиваль "Зелена хвиля"</t>
  </si>
  <si>
    <t>Дата початку проєкту: 15 липня 2021 року</t>
  </si>
  <si>
    <t>Дата завершення проєкту:15 листопада 2021 року</t>
  </si>
  <si>
    <t>Додаток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</si>
</sst>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
    <numFmt numFmtId="165" formatCode="_-* #,##0.00\ _₴_-;\-* #,##0.00\ _₴_-;_-* &quot;-&quot;??\ _₴_-;_-@"/>
    <numFmt numFmtId="166" formatCode="&quot;$&quot;#,##0"/>
  </numFmts>
  <fonts count="55">
    <font>
      <sz val="11"/>
      <color theme="1"/>
      <name val="Arial"/>
    </font>
    <font>
      <sz val="11"/>
      <color theme="1"/>
      <name val="Calibri"/>
      <family val="2"/>
      <charset val="204"/>
      <scheme val="minor"/>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Arial"/>
      <family val="2"/>
      <charset val="204"/>
    </font>
    <font>
      <sz val="12"/>
      <color theme="1"/>
      <name val="Calibri"/>
      <family val="2"/>
      <charset val="204"/>
    </font>
    <font>
      <sz val="11"/>
      <color rgb="FF000000"/>
      <name val="Calibri"/>
      <family val="2"/>
      <charset val="204"/>
    </font>
    <font>
      <b/>
      <sz val="12"/>
      <color rgb="FF000000"/>
      <name val="Arial"/>
      <family val="2"/>
      <charset val="204"/>
    </font>
    <font>
      <sz val="10"/>
      <color theme="1"/>
      <name val="Arial"/>
      <family val="2"/>
      <charset val="204"/>
    </font>
    <font>
      <b/>
      <sz val="10"/>
      <color rgb="FFFF0000"/>
      <name val="Arial"/>
      <family val="2"/>
      <charset val="204"/>
    </font>
    <font>
      <b/>
      <sz val="10"/>
      <color theme="1"/>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sz val="10"/>
      <color rgb="FF000000"/>
      <name val="Arial"/>
      <family val="2"/>
      <charset val="204"/>
    </font>
    <font>
      <sz val="10"/>
      <color rgb="FF000000"/>
      <name val="Arial"/>
      <family val="2"/>
      <charset val="204"/>
    </font>
    <font>
      <b/>
      <i/>
      <sz val="10"/>
      <color rgb="FF000000"/>
      <name val="Arial"/>
      <family val="2"/>
      <charset val="204"/>
    </font>
    <font>
      <b/>
      <i/>
      <sz val="10"/>
      <color theme="1"/>
      <name val="Arial"/>
      <family val="2"/>
      <charset val="204"/>
    </font>
    <font>
      <sz val="10"/>
      <color rgb="FF000000"/>
      <name val="Docs-Calibri"/>
    </font>
    <font>
      <sz val="11"/>
      <color rgb="FF000000"/>
      <name val="Docs-Calibri"/>
    </font>
    <font>
      <i/>
      <vertAlign val="superscript"/>
      <sz val="10"/>
      <color theme="1"/>
      <name val="Arial"/>
      <family val="2"/>
      <charset val="204"/>
    </font>
    <font>
      <b/>
      <i/>
      <vertAlign val="superscript"/>
      <sz val="10"/>
      <color theme="1"/>
      <name val="Arial"/>
      <family val="2"/>
      <charset val="204"/>
    </font>
    <font>
      <i/>
      <sz val="10"/>
      <color theme="1"/>
      <name val="Arial"/>
      <family val="2"/>
      <charset val="204"/>
    </font>
    <font>
      <sz val="10"/>
      <color rgb="FFFF0000"/>
      <name val="Arial"/>
      <family val="2"/>
      <charset val="204"/>
    </font>
    <font>
      <b/>
      <sz val="10"/>
      <name val="Arial"/>
      <family val="2"/>
      <charset val="204"/>
    </font>
    <font>
      <sz val="10"/>
      <name val="Arial"/>
      <family val="2"/>
      <charset val="204"/>
    </font>
    <font>
      <b/>
      <sz val="11"/>
      <name val="Calibri"/>
      <family val="2"/>
      <charset val="204"/>
    </font>
    <font>
      <sz val="10"/>
      <name val="Docs-Calibri"/>
    </font>
    <font>
      <sz val="11"/>
      <color rgb="FF006100"/>
      <name val="Calibri"/>
      <family val="2"/>
      <charset val="1"/>
      <scheme val="minor"/>
    </font>
    <font>
      <b/>
      <i/>
      <sz val="10"/>
      <color rgb="FF000000"/>
      <name val="Arial"/>
      <family val="2"/>
      <charset val="204"/>
    </font>
    <font>
      <sz val="8"/>
      <name val="Arial"/>
      <family val="2"/>
      <charset val="204"/>
    </font>
    <font>
      <sz val="10"/>
      <color theme="1"/>
      <name val="Calibri"/>
      <family val="2"/>
      <charset val="204"/>
    </font>
    <font>
      <i/>
      <sz val="10"/>
      <color theme="1"/>
      <name val="Calibri"/>
      <family val="2"/>
      <charset val="204"/>
    </font>
    <font>
      <sz val="10"/>
      <color rgb="FFFF0000"/>
      <name val="Calibri"/>
      <family val="2"/>
      <charset val="204"/>
    </font>
    <font>
      <b/>
      <sz val="10"/>
      <color theme="1"/>
      <name val="Calibri"/>
      <family val="2"/>
      <charset val="204"/>
    </font>
    <font>
      <vertAlign val="superscript"/>
      <sz val="10"/>
      <color theme="1"/>
      <name val="Calibri"/>
      <family val="2"/>
      <charset val="204"/>
    </font>
    <font>
      <sz val="10"/>
      <color rgb="FF70AD47"/>
      <name val="Calibri"/>
      <family val="2"/>
      <charset val="204"/>
    </font>
    <font>
      <sz val="10"/>
      <name val="Calibri"/>
      <family val="2"/>
      <charset val="204"/>
    </font>
    <font>
      <sz val="10"/>
      <color rgb="FF000000"/>
      <name val="Calibri"/>
      <family val="2"/>
      <charset val="204"/>
    </font>
    <font>
      <b/>
      <sz val="10"/>
      <color rgb="FF000000"/>
      <name val="Calibri"/>
      <family val="2"/>
      <charset val="204"/>
    </font>
    <font>
      <sz val="10"/>
      <color theme="9"/>
      <name val="Calibri"/>
      <family val="2"/>
      <charset val="204"/>
    </font>
    <font>
      <b/>
      <i/>
      <sz val="10"/>
      <color rgb="FF000000"/>
      <name val="Calibri"/>
      <family val="2"/>
      <charset val="204"/>
    </font>
    <font>
      <b/>
      <i/>
      <sz val="10"/>
      <color theme="1"/>
      <name val="Calibri"/>
      <family val="2"/>
      <charset val="204"/>
    </font>
    <font>
      <b/>
      <sz val="10"/>
      <name val="Calibri"/>
      <family val="2"/>
      <charset val="204"/>
    </font>
    <font>
      <i/>
      <sz val="11"/>
      <color rgb="FF000000"/>
      <name val="Calibri"/>
      <family val="2"/>
      <charset val="204"/>
    </font>
    <font>
      <sz val="12"/>
      <color theme="1"/>
      <name val="Arial"/>
      <family val="2"/>
      <charset val="204"/>
    </font>
  </fonts>
  <fills count="19">
    <fill>
      <patternFill patternType="none"/>
    </fill>
    <fill>
      <patternFill patternType="gray125"/>
    </fill>
    <fill>
      <patternFill patternType="solid">
        <fgColor rgb="FFE2EFD9"/>
        <bgColor rgb="FFE2EFD9"/>
      </patternFill>
    </fill>
    <fill>
      <patternFill patternType="solid">
        <fgColor rgb="FFFFFF00"/>
        <bgColor rgb="FFFFFF00"/>
      </patternFill>
    </fill>
    <fill>
      <patternFill patternType="solid">
        <fgColor rgb="FFDEEAF6"/>
        <bgColor rgb="FFDEEAF6"/>
      </patternFill>
    </fill>
    <fill>
      <patternFill patternType="solid">
        <fgColor rgb="FFECECEC"/>
        <bgColor rgb="FFECECEC"/>
      </patternFill>
    </fill>
    <fill>
      <patternFill patternType="solid">
        <fgColor theme="0"/>
        <bgColor indexed="64"/>
      </patternFill>
    </fill>
    <fill>
      <patternFill patternType="solid">
        <fgColor theme="0"/>
        <bgColor rgb="FFDEEAF6"/>
      </patternFill>
    </fill>
    <fill>
      <patternFill patternType="solid">
        <fgColor rgb="FFF2F2F2"/>
        <bgColor rgb="FFF2F2F2"/>
      </patternFill>
    </fill>
    <fill>
      <patternFill patternType="solid">
        <fgColor rgb="FFFEF2CB"/>
        <bgColor rgb="FFFEF2CB"/>
      </patternFill>
    </fill>
    <fill>
      <patternFill patternType="solid">
        <fgColor theme="9" tint="0.79998168889431442"/>
        <bgColor indexed="64"/>
      </patternFill>
    </fill>
    <fill>
      <patternFill patternType="solid">
        <fgColor theme="0"/>
        <bgColor rgb="FFECECEC"/>
      </patternFill>
    </fill>
    <fill>
      <patternFill patternType="solid">
        <fgColor rgb="FFC6EFCE"/>
      </patternFill>
    </fill>
    <fill>
      <patternFill patternType="solid">
        <fgColor theme="0"/>
        <bgColor rgb="FFE2EFD9"/>
      </patternFill>
    </fill>
    <fill>
      <patternFill patternType="solid">
        <fgColor theme="0"/>
        <bgColor rgb="FFFFFFFF"/>
      </patternFill>
    </fill>
    <fill>
      <patternFill patternType="solid">
        <fgColor theme="0"/>
        <bgColor rgb="FFFFFF00"/>
      </patternFill>
    </fill>
    <fill>
      <patternFill patternType="solid">
        <fgColor theme="9" tint="0.79998168889431442"/>
        <bgColor rgb="FFE2EFD9"/>
      </patternFill>
    </fill>
    <fill>
      <patternFill patternType="solid">
        <fgColor rgb="FFFFFFFF"/>
        <bgColor rgb="FFFFFFFF"/>
      </patternFill>
    </fill>
    <fill>
      <patternFill patternType="solid">
        <fgColor theme="9" tint="0.79998168889431442"/>
        <bgColor rgb="FFDEEAF6"/>
      </patternFill>
    </fill>
  </fills>
  <borders count="9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thin">
        <color rgb="FF000000"/>
      </bottom>
      <diagonal/>
    </border>
    <border>
      <left/>
      <right/>
      <top/>
      <bottom style="medium">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bottom style="medium">
        <color rgb="FF000000"/>
      </bottom>
      <diagonal/>
    </border>
    <border>
      <left/>
      <right/>
      <top style="medium">
        <color rgb="FF000000"/>
      </top>
      <bottom style="thin">
        <color rgb="FF000000"/>
      </bottom>
      <diagonal/>
    </border>
    <border>
      <left/>
      <right/>
      <top/>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style="medium">
        <color rgb="FF000000"/>
      </bottom>
      <diagonal/>
    </border>
    <border>
      <left style="thin">
        <color rgb="FF000000"/>
      </left>
      <right/>
      <top style="medium">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medium">
        <color rgb="FF000000"/>
      </right>
      <top style="thin">
        <color rgb="FF000000"/>
      </top>
      <bottom style="medium">
        <color indexed="64"/>
      </bottom>
      <diagonal/>
    </border>
    <border>
      <left style="thin">
        <color rgb="FF000000"/>
      </left>
      <right style="medium">
        <color rgb="FF000000"/>
      </right>
      <top style="medium">
        <color indexed="64"/>
      </top>
      <bottom style="medium">
        <color indexed="64"/>
      </bottom>
      <diagonal/>
    </border>
  </borders>
  <cellStyleXfs count="2">
    <xf numFmtId="0" fontId="0" fillId="0" borderId="0"/>
    <xf numFmtId="0" fontId="37" fillId="12" borderId="0" applyNumberFormat="0" applyBorder="0" applyAlignment="0" applyProtection="0"/>
  </cellStyleXfs>
  <cellXfs count="860">
    <xf numFmtId="0" fontId="0" fillId="0" borderId="0" xfId="0" applyFont="1" applyAlignment="1"/>
    <xf numFmtId="0" fontId="2" fillId="0" borderId="0" xfId="0" applyFont="1"/>
    <xf numFmtId="0" fontId="2" fillId="0" borderId="0" xfId="0" applyFont="1" applyAlignment="1">
      <alignment wrapText="1"/>
    </xf>
    <xf numFmtId="0" fontId="3" fillId="0" borderId="0" xfId="0" applyFont="1"/>
    <xf numFmtId="0" fontId="4" fillId="0" borderId="0" xfId="0" applyFont="1" applyAlignment="1">
      <alignment horizontal="left"/>
    </xf>
    <xf numFmtId="0" fontId="0" fillId="0" borderId="0" xfId="0" applyFont="1"/>
    <xf numFmtId="0" fontId="5" fillId="0" borderId="0" xfId="0" applyFont="1" applyAlignment="1">
      <alignment vertical="center"/>
    </xf>
    <xf numFmtId="0" fontId="2"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2" fillId="0" borderId="0" xfId="0" applyNumberFormat="1" applyFont="1"/>
    <xf numFmtId="4" fontId="2"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0" xfId="0" applyNumberFormat="1" applyFont="1" applyBorder="1" applyAlignment="1">
      <alignment horizontal="center" vertical="center" wrapText="1"/>
    </xf>
    <xf numFmtId="10" fontId="8" fillId="0" borderId="11" xfId="0" applyNumberFormat="1" applyFont="1" applyBorder="1" applyAlignment="1">
      <alignment horizontal="center" vertical="center" wrapText="1"/>
    </xf>
    <xf numFmtId="14" fontId="0" fillId="0" borderId="0" xfId="0" applyNumberFormat="1" applyFont="1"/>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10" fontId="8" fillId="0" borderId="11" xfId="0" applyNumberFormat="1" applyFont="1" applyBorder="1" applyAlignment="1">
      <alignment horizontal="center" vertical="center"/>
    </xf>
    <xf numFmtId="4" fontId="8"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0" fontId="8"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19" xfId="0" applyFont="1" applyBorder="1" applyAlignment="1">
      <alignment horizontal="center" vertical="center" wrapText="1"/>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8" fillId="0" borderId="20" xfId="0" applyNumberFormat="1" applyFont="1" applyBorder="1" applyAlignment="1">
      <alignment horizontal="center" vertical="center"/>
    </xf>
    <xf numFmtId="4" fontId="8" fillId="0" borderId="22" xfId="0" applyNumberFormat="1" applyFont="1" applyBorder="1" applyAlignment="1">
      <alignment horizontal="center" vertical="center"/>
    </xf>
    <xf numFmtId="10" fontId="8" fillId="0" borderId="22" xfId="0" applyNumberFormat="1" applyFont="1" applyBorder="1" applyAlignment="1">
      <alignment horizontal="center" vertical="center"/>
    </xf>
    <xf numFmtId="10" fontId="9" fillId="0" borderId="20" xfId="0" applyNumberFormat="1" applyFont="1" applyBorder="1" applyAlignment="1">
      <alignment horizontal="center" vertical="center"/>
    </xf>
    <xf numFmtId="4" fontId="9" fillId="0" borderId="21" xfId="0" applyNumberFormat="1" applyFont="1" applyBorder="1" applyAlignment="1">
      <alignment horizontal="center" vertical="center"/>
    </xf>
    <xf numFmtId="0" fontId="8" fillId="0" borderId="23" xfId="0" applyFont="1" applyBorder="1" applyAlignment="1">
      <alignment horizontal="center" vertical="center" wrapText="1"/>
    </xf>
    <xf numFmtId="10" fontId="8"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4" fontId="8" fillId="0" borderId="24" xfId="0" applyNumberFormat="1" applyFont="1" applyBorder="1" applyAlignment="1">
      <alignment horizontal="center" vertical="center"/>
    </xf>
    <xf numFmtId="4" fontId="8" fillId="0" borderId="26" xfId="0" applyNumberFormat="1" applyFont="1" applyBorder="1" applyAlignment="1">
      <alignment horizontal="center" vertical="center"/>
    </xf>
    <xf numFmtId="10" fontId="8" fillId="0" borderId="26" xfId="0" applyNumberFormat="1" applyFont="1" applyBorder="1" applyAlignment="1">
      <alignment horizontal="center" vertical="center"/>
    </xf>
    <xf numFmtId="4" fontId="9" fillId="0" borderId="25" xfId="0" applyNumberFormat="1" applyFont="1" applyBorder="1" applyAlignment="1">
      <alignment horizontal="center" vertical="center"/>
    </xf>
    <xf numFmtId="0" fontId="8" fillId="0" borderId="27" xfId="0" applyFont="1" applyBorder="1" applyAlignment="1">
      <alignment horizontal="center" vertical="center" wrapText="1"/>
    </xf>
    <xf numFmtId="10" fontId="8"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30" xfId="0" applyNumberFormat="1" applyFont="1" applyBorder="1" applyAlignment="1">
      <alignment horizontal="center" vertical="center"/>
    </xf>
    <xf numFmtId="10" fontId="8" fillId="0" borderId="30" xfId="0" applyNumberFormat="1" applyFont="1" applyBorder="1" applyAlignment="1">
      <alignment horizontal="center" vertical="center"/>
    </xf>
    <xf numFmtId="4" fontId="9" fillId="0" borderId="29" xfId="0" applyNumberFormat="1" applyFont="1" applyBorder="1" applyAlignment="1">
      <alignment horizontal="center" vertical="center"/>
    </xf>
    <xf numFmtId="0" fontId="8" fillId="0" borderId="15" xfId="0" applyFont="1" applyBorder="1" applyAlignment="1">
      <alignment horizontal="center" vertical="center" wrapText="1"/>
    </xf>
    <xf numFmtId="10" fontId="8" fillId="0" borderId="31"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6" xfId="0" applyNumberFormat="1" applyFont="1" applyBorder="1" applyAlignment="1">
      <alignment horizontal="center" vertical="center"/>
    </xf>
    <xf numFmtId="4" fontId="8" fillId="0" borderId="18" xfId="0" applyNumberFormat="1" applyFont="1" applyBorder="1" applyAlignment="1">
      <alignment horizontal="center" vertical="center"/>
    </xf>
    <xf numFmtId="10" fontId="8" fillId="0" borderId="18" xfId="0" applyNumberFormat="1" applyFont="1" applyBorder="1" applyAlignment="1">
      <alignment horizontal="center" vertical="center"/>
    </xf>
    <xf numFmtId="10" fontId="8" fillId="0" borderId="16" xfId="0" applyNumberFormat="1" applyFont="1" applyBorder="1" applyAlignment="1">
      <alignment horizontal="center" vertical="center"/>
    </xf>
    <xf numFmtId="4" fontId="9" fillId="0" borderId="17" xfId="0" applyNumberFormat="1" applyFont="1" applyBorder="1" applyAlignment="1">
      <alignment horizontal="center" vertical="center"/>
    </xf>
    <xf numFmtId="0" fontId="12" fillId="0" borderId="0" xfId="0" applyFont="1"/>
    <xf numFmtId="0" fontId="12" fillId="0" borderId="32" xfId="0" applyFont="1" applyBorder="1"/>
    <xf numFmtId="10" fontId="12" fillId="0" borderId="0" xfId="0" applyNumberFormat="1" applyFont="1"/>
    <xf numFmtId="0" fontId="8" fillId="0" borderId="0" xfId="0" applyFont="1" applyAlignment="1">
      <alignment horizontal="right"/>
    </xf>
    <xf numFmtId="0" fontId="8" fillId="0" borderId="0" xfId="0" applyFont="1"/>
    <xf numFmtId="4" fontId="15" fillId="0" borderId="0" xfId="0" applyNumberFormat="1" applyFont="1" applyAlignment="1">
      <alignment horizontal="right"/>
    </xf>
    <xf numFmtId="4" fontId="16" fillId="0" borderId="0" xfId="0" applyNumberFormat="1" applyFont="1" applyAlignment="1">
      <alignment horizontal="right"/>
    </xf>
    <xf numFmtId="0" fontId="15" fillId="0" borderId="0" xfId="0" applyFont="1" applyAlignment="1">
      <alignment wrapText="1"/>
    </xf>
    <xf numFmtId="0" fontId="15" fillId="0" borderId="0" xfId="0" applyFont="1"/>
    <xf numFmtId="0" fontId="0" fillId="0" borderId="0" xfId="0"/>
    <xf numFmtId="0" fontId="17"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6" fillId="0" borderId="0" xfId="0" applyFont="1" applyAlignment="1">
      <alignment horizontal="right" vertical="center"/>
    </xf>
    <xf numFmtId="0" fontId="15" fillId="0" borderId="0" xfId="0" applyFont="1" applyAlignment="1">
      <alignment vertical="center"/>
    </xf>
    <xf numFmtId="0" fontId="17" fillId="0" borderId="0" xfId="0" applyFont="1"/>
    <xf numFmtId="0" fontId="18" fillId="0" borderId="0" xfId="0" applyFont="1" applyAlignment="1">
      <alignment horizontal="right"/>
    </xf>
    <xf numFmtId="0" fontId="19" fillId="0" borderId="0" xfId="0" applyFont="1" applyAlignment="1">
      <alignment horizontal="right" vertical="center"/>
    </xf>
    <xf numFmtId="0" fontId="17" fillId="0" borderId="0" xfId="0" applyFont="1" applyAlignment="1">
      <alignment vertical="center" wrapText="1"/>
    </xf>
    <xf numFmtId="4" fontId="15" fillId="0" borderId="0" xfId="0" applyNumberFormat="1" applyFont="1" applyAlignment="1">
      <alignment horizontal="right" vertical="center"/>
    </xf>
    <xf numFmtId="4" fontId="18" fillId="0" borderId="0" xfId="0" applyNumberFormat="1" applyFont="1" applyAlignment="1">
      <alignment horizontal="right" wrapText="1"/>
    </xf>
    <xf numFmtId="4" fontId="19" fillId="0" borderId="0" xfId="0" applyNumberFormat="1" applyFont="1" applyAlignment="1">
      <alignment horizontal="right" vertical="center" wrapText="1"/>
    </xf>
    <xf numFmtId="4" fontId="17" fillId="8" borderId="2" xfId="0" applyNumberFormat="1" applyFont="1" applyFill="1" applyBorder="1" applyAlignment="1">
      <alignment horizontal="center" vertical="center" wrapText="1"/>
    </xf>
    <xf numFmtId="4" fontId="17" fillId="8" borderId="58" xfId="0" applyNumberFormat="1" applyFont="1" applyFill="1" applyBorder="1" applyAlignment="1">
      <alignment horizontal="center" vertical="center" wrapText="1"/>
    </xf>
    <xf numFmtId="4" fontId="17" fillId="8" borderId="3" xfId="0" applyNumberFormat="1" applyFont="1" applyFill="1" applyBorder="1" applyAlignment="1">
      <alignment horizontal="center" vertical="center" wrapText="1"/>
    </xf>
    <xf numFmtId="166" fontId="17" fillId="8" borderId="64" xfId="0" applyNumberFormat="1" applyFont="1" applyFill="1" applyBorder="1" applyAlignment="1">
      <alignment horizontal="center" vertical="center" wrapText="1"/>
    </xf>
    <xf numFmtId="166" fontId="17" fillId="8" borderId="55" xfId="0" applyNumberFormat="1" applyFont="1" applyFill="1" applyBorder="1" applyAlignment="1">
      <alignment horizontal="center" vertical="center" wrapText="1"/>
    </xf>
    <xf numFmtId="0" fontId="17" fillId="9" borderId="58" xfId="0" applyFont="1" applyFill="1" applyBorder="1" applyAlignment="1">
      <alignment horizontal="center" vertical="center"/>
    </xf>
    <xf numFmtId="0" fontId="17" fillId="9" borderId="2" xfId="0" applyFont="1" applyFill="1" applyBorder="1" applyAlignment="1">
      <alignment horizontal="center" vertical="center" wrapText="1"/>
    </xf>
    <xf numFmtId="3" fontId="17" fillId="9" borderId="2" xfId="0" applyNumberFormat="1" applyFont="1" applyFill="1" applyBorder="1" applyAlignment="1">
      <alignment horizontal="center" vertical="center" wrapText="1"/>
    </xf>
    <xf numFmtId="0" fontId="21" fillId="3" borderId="4" xfId="0" applyFont="1" applyFill="1" applyBorder="1" applyAlignment="1">
      <alignment vertical="center"/>
    </xf>
    <xf numFmtId="0" fontId="21" fillId="3" borderId="56" xfId="0" applyFont="1" applyFill="1" applyBorder="1" applyAlignment="1">
      <alignment horizontal="center" vertical="center"/>
    </xf>
    <xf numFmtId="0" fontId="21" fillId="3" borderId="66" xfId="0" applyFont="1" applyFill="1" applyBorder="1" applyAlignment="1">
      <alignment vertical="center" wrapText="1"/>
    </xf>
    <xf numFmtId="0" fontId="0" fillId="3" borderId="66" xfId="0" applyFill="1" applyBorder="1" applyAlignment="1">
      <alignment horizontal="center" vertical="center"/>
    </xf>
    <xf numFmtId="4" fontId="0" fillId="3" borderId="66" xfId="0" applyNumberFormat="1" applyFill="1" applyBorder="1" applyAlignment="1">
      <alignment horizontal="right" vertical="center"/>
    </xf>
    <xf numFmtId="4" fontId="22" fillId="3" borderId="66" xfId="0" applyNumberFormat="1" applyFont="1" applyFill="1" applyBorder="1" applyAlignment="1">
      <alignment horizontal="right" vertical="center"/>
    </xf>
    <xf numFmtId="0" fontId="0" fillId="0" borderId="0" xfId="0" applyAlignment="1">
      <alignment vertical="center"/>
    </xf>
    <xf numFmtId="0" fontId="17" fillId="2" borderId="65" xfId="0" applyFont="1" applyFill="1" applyBorder="1" applyAlignment="1">
      <alignment vertical="center"/>
    </xf>
    <xf numFmtId="0" fontId="17" fillId="2" borderId="58" xfId="0" applyFont="1" applyFill="1" applyBorder="1" applyAlignment="1">
      <alignment horizontal="center" vertical="center"/>
    </xf>
    <xf numFmtId="0" fontId="23" fillId="2" borderId="56" xfId="0" applyFont="1" applyFill="1" applyBorder="1" applyAlignment="1">
      <alignment vertical="center"/>
    </xf>
    <xf numFmtId="0" fontId="15" fillId="2" borderId="56" xfId="0" applyFont="1" applyFill="1" applyBorder="1" applyAlignment="1">
      <alignment horizontal="center" vertical="center"/>
    </xf>
    <xf numFmtId="4" fontId="15" fillId="2" borderId="56" xfId="0" applyNumberFormat="1" applyFont="1" applyFill="1" applyBorder="1" applyAlignment="1">
      <alignment horizontal="right" vertical="center"/>
    </xf>
    <xf numFmtId="4" fontId="16" fillId="2" borderId="56" xfId="0" applyNumberFormat="1" applyFont="1" applyFill="1" applyBorder="1" applyAlignment="1">
      <alignment horizontal="right" vertical="center"/>
    </xf>
    <xf numFmtId="0" fontId="24" fillId="0" borderId="0" xfId="0" applyFont="1" applyAlignment="1">
      <alignment vertical="center"/>
    </xf>
    <xf numFmtId="165" fontId="17" fillId="4" borderId="57" xfId="0" applyNumberFormat="1" applyFont="1" applyFill="1" applyBorder="1" applyAlignment="1">
      <alignment vertical="top"/>
    </xf>
    <xf numFmtId="49" fontId="17" fillId="4" borderId="44" xfId="0" applyNumberFormat="1" applyFont="1" applyFill="1" applyBorder="1" applyAlignment="1">
      <alignment horizontal="center" vertical="top"/>
    </xf>
    <xf numFmtId="0" fontId="25" fillId="4" borderId="45" xfId="0" applyFont="1" applyFill="1" applyBorder="1" applyAlignment="1">
      <alignment vertical="top" wrapText="1"/>
    </xf>
    <xf numFmtId="0" fontId="17" fillId="4" borderId="67" xfId="0" applyFont="1" applyFill="1" applyBorder="1" applyAlignment="1">
      <alignment horizontal="center" vertical="top"/>
    </xf>
    <xf numFmtId="4" fontId="17" fillId="4" borderId="20" xfId="0" applyNumberFormat="1" applyFont="1" applyFill="1" applyBorder="1" applyAlignment="1">
      <alignment horizontal="right" vertical="top"/>
    </xf>
    <xf numFmtId="4" fontId="17" fillId="4" borderId="22" xfId="0" applyNumberFormat="1" applyFont="1" applyFill="1" applyBorder="1" applyAlignment="1">
      <alignment horizontal="right" vertical="top"/>
    </xf>
    <xf numFmtId="4" fontId="17" fillId="4" borderId="21" xfId="0" applyNumberFormat="1" applyFont="1" applyFill="1" applyBorder="1" applyAlignment="1">
      <alignment horizontal="right" vertical="top"/>
    </xf>
    <xf numFmtId="4" fontId="16" fillId="4" borderId="39" xfId="0" applyNumberFormat="1" applyFont="1" applyFill="1" applyBorder="1" applyAlignment="1">
      <alignment horizontal="right" vertical="top"/>
    </xf>
    <xf numFmtId="0" fontId="17" fillId="0" borderId="0" xfId="0" applyFont="1" applyAlignment="1">
      <alignment vertical="top"/>
    </xf>
    <xf numFmtId="165" fontId="17" fillId="0" borderId="51" xfId="0" applyNumberFormat="1" applyFont="1" applyBorder="1" applyAlignment="1">
      <alignment vertical="top"/>
    </xf>
    <xf numFmtId="49" fontId="23" fillId="0" borderId="23" xfId="0" applyNumberFormat="1" applyFont="1" applyBorder="1" applyAlignment="1">
      <alignment horizontal="center" vertical="top"/>
    </xf>
    <xf numFmtId="0" fontId="15" fillId="0" borderId="51" xfId="0" applyFont="1" applyBorder="1" applyAlignment="1">
      <alignment horizontal="center" vertical="top"/>
    </xf>
    <xf numFmtId="4" fontId="15" fillId="0" borderId="24" xfId="0" applyNumberFormat="1" applyFont="1" applyBorder="1" applyAlignment="1">
      <alignment horizontal="right" vertical="top"/>
    </xf>
    <xf numFmtId="4" fontId="15" fillId="0" borderId="26" xfId="0" applyNumberFormat="1" applyFont="1" applyBorder="1" applyAlignment="1">
      <alignment horizontal="right" vertical="top"/>
    </xf>
    <xf numFmtId="4" fontId="15" fillId="0" borderId="25" xfId="0" applyNumberFormat="1" applyFont="1" applyBorder="1" applyAlignment="1">
      <alignment horizontal="right" vertical="top"/>
    </xf>
    <xf numFmtId="4" fontId="16" fillId="0" borderId="34" xfId="0" applyNumberFormat="1" applyFont="1" applyBorder="1" applyAlignment="1">
      <alignment horizontal="right" vertical="top"/>
    </xf>
    <xf numFmtId="4" fontId="16" fillId="0" borderId="39" xfId="0" applyNumberFormat="1" applyFont="1" applyBorder="1" applyAlignment="1">
      <alignment horizontal="right" vertical="top"/>
    </xf>
    <xf numFmtId="10" fontId="16" fillId="0" borderId="39" xfId="0" applyNumberFormat="1" applyFont="1" applyBorder="1" applyAlignment="1">
      <alignment horizontal="right" vertical="top"/>
    </xf>
    <xf numFmtId="0" fontId="24" fillId="0" borderId="0" xfId="0" applyFont="1" applyAlignment="1">
      <alignment vertical="top"/>
    </xf>
    <xf numFmtId="0" fontId="15" fillId="0" borderId="0" xfId="0" applyFont="1" applyAlignment="1">
      <alignment vertical="top"/>
    </xf>
    <xf numFmtId="0" fontId="24" fillId="0" borderId="41" xfId="0" applyFont="1" applyBorder="1" applyAlignment="1">
      <alignment vertical="top" wrapText="1"/>
    </xf>
    <xf numFmtId="165" fontId="17" fillId="0" borderId="52" xfId="0" applyNumberFormat="1" applyFont="1" applyBorder="1" applyAlignment="1">
      <alignment vertical="top"/>
    </xf>
    <xf numFmtId="49" fontId="23" fillId="0" borderId="61" xfId="0" applyNumberFormat="1" applyFont="1" applyBorder="1" applyAlignment="1">
      <alignment horizontal="center" vertical="top"/>
    </xf>
    <xf numFmtId="0" fontId="15" fillId="0" borderId="52" xfId="0" applyFont="1" applyBorder="1" applyAlignment="1">
      <alignment horizontal="center" vertical="top"/>
    </xf>
    <xf numFmtId="4" fontId="15" fillId="0" borderId="68" xfId="0" applyNumberFormat="1" applyFont="1" applyBorder="1" applyAlignment="1">
      <alignment horizontal="right" vertical="top"/>
    </xf>
    <xf numFmtId="4" fontId="15" fillId="0" borderId="33" xfId="0" applyNumberFormat="1" applyFont="1" applyBorder="1" applyAlignment="1">
      <alignment horizontal="right" vertical="top"/>
    </xf>
    <xf numFmtId="4" fontId="15" fillId="0" borderId="43" xfId="0" applyNumberFormat="1" applyFont="1" applyBorder="1" applyAlignment="1">
      <alignment horizontal="right" vertical="top"/>
    </xf>
    <xf numFmtId="4" fontId="16" fillId="0" borderId="37" xfId="0" applyNumberFormat="1" applyFont="1" applyBorder="1" applyAlignment="1">
      <alignment horizontal="right" vertical="top"/>
    </xf>
    <xf numFmtId="0" fontId="25" fillId="4" borderId="54" xfId="0" applyFont="1" applyFill="1" applyBorder="1" applyAlignment="1">
      <alignment vertical="top" wrapText="1"/>
    </xf>
    <xf numFmtId="0" fontId="17" fillId="4" borderId="57" xfId="0" applyFont="1" applyFill="1" applyBorder="1" applyAlignment="1">
      <alignment horizontal="center" vertical="top"/>
    </xf>
    <xf numFmtId="4" fontId="17" fillId="4" borderId="69" xfId="0" applyNumberFormat="1" applyFont="1" applyFill="1" applyBorder="1" applyAlignment="1">
      <alignment horizontal="right" vertical="top"/>
    </xf>
    <xf numFmtId="4" fontId="17" fillId="4" borderId="70" xfId="0" applyNumberFormat="1" applyFont="1" applyFill="1" applyBorder="1" applyAlignment="1">
      <alignment horizontal="right" vertical="top"/>
    </xf>
    <xf numFmtId="4" fontId="17" fillId="4" borderId="71" xfId="0" applyNumberFormat="1" applyFont="1" applyFill="1" applyBorder="1" applyAlignment="1">
      <alignment horizontal="right" vertical="top"/>
    </xf>
    <xf numFmtId="4" fontId="15" fillId="4" borderId="71" xfId="0" applyNumberFormat="1" applyFont="1" applyFill="1" applyBorder="1" applyAlignment="1">
      <alignment horizontal="right" vertical="top"/>
    </xf>
    <xf numFmtId="165" fontId="17" fillId="0" borderId="62" xfId="0" applyNumberFormat="1" applyFont="1" applyBorder="1" applyAlignment="1">
      <alignment vertical="top"/>
    </xf>
    <xf numFmtId="0" fontId="15" fillId="0" borderId="62" xfId="0" applyFont="1" applyBorder="1" applyAlignment="1">
      <alignment horizontal="center" vertical="top"/>
    </xf>
    <xf numFmtId="4" fontId="15" fillId="0" borderId="28" xfId="0" applyNumberFormat="1" applyFont="1" applyBorder="1" applyAlignment="1">
      <alignment horizontal="right" vertical="top"/>
    </xf>
    <xf numFmtId="4" fontId="15" fillId="0" borderId="30" xfId="0" applyNumberFormat="1" applyFont="1" applyBorder="1" applyAlignment="1">
      <alignment horizontal="right" vertical="top"/>
    </xf>
    <xf numFmtId="4" fontId="15" fillId="0" borderId="29" xfId="0" applyNumberFormat="1" applyFont="1" applyBorder="1" applyAlignment="1">
      <alignment horizontal="right" vertical="top"/>
    </xf>
    <xf numFmtId="0" fontId="26" fillId="4" borderId="54" xfId="0" applyFont="1" applyFill="1" applyBorder="1" applyAlignment="1">
      <alignment vertical="top" wrapText="1"/>
    </xf>
    <xf numFmtId="165" fontId="17" fillId="0" borderId="72" xfId="0" applyNumberFormat="1" applyFont="1" applyBorder="1" applyAlignment="1">
      <alignment vertical="top"/>
    </xf>
    <xf numFmtId="49" fontId="23" fillId="0" borderId="72" xfId="0" applyNumberFormat="1" applyFont="1" applyBorder="1" applyAlignment="1">
      <alignment horizontal="center" vertical="top"/>
    </xf>
    <xf numFmtId="0" fontId="15" fillId="0" borderId="72" xfId="0" applyFont="1" applyBorder="1" applyAlignment="1">
      <alignment horizontal="center" vertical="top"/>
    </xf>
    <xf numFmtId="4" fontId="15" fillId="0" borderId="72" xfId="0" applyNumberFormat="1" applyFont="1" applyBorder="1" applyAlignment="1">
      <alignment horizontal="right" vertical="top"/>
    </xf>
    <xf numFmtId="4" fontId="15" fillId="0" borderId="37" xfId="0" applyNumberFormat="1" applyFont="1" applyBorder="1" applyAlignment="1">
      <alignment horizontal="right" vertical="top"/>
    </xf>
    <xf numFmtId="4" fontId="16" fillId="0" borderId="63" xfId="0" applyNumberFormat="1" applyFont="1" applyBorder="1" applyAlignment="1">
      <alignment horizontal="right" vertical="top"/>
    </xf>
    <xf numFmtId="165" fontId="3" fillId="0" borderId="72" xfId="0" applyNumberFormat="1" applyFont="1" applyBorder="1" applyAlignment="1">
      <alignment vertical="top"/>
    </xf>
    <xf numFmtId="49" fontId="4" fillId="0" borderId="72" xfId="0" applyNumberFormat="1" applyFont="1" applyBorder="1" applyAlignment="1">
      <alignment horizontal="center" vertical="top"/>
    </xf>
    <xf numFmtId="4" fontId="16" fillId="0" borderId="72" xfId="0" applyNumberFormat="1" applyFont="1" applyBorder="1" applyAlignment="1">
      <alignment horizontal="right" vertical="top"/>
    </xf>
    <xf numFmtId="0" fontId="15" fillId="0" borderId="72" xfId="0" applyFont="1" applyBorder="1" applyAlignment="1">
      <alignment vertical="top" wrapText="1"/>
    </xf>
    <xf numFmtId="165" fontId="17" fillId="4" borderId="67" xfId="0" applyNumberFormat="1" applyFont="1" applyFill="1" applyBorder="1" applyAlignment="1">
      <alignment vertical="top"/>
    </xf>
    <xf numFmtId="49" fontId="23" fillId="4" borderId="60" xfId="0" applyNumberFormat="1" applyFont="1" applyFill="1" applyBorder="1" applyAlignment="1">
      <alignment horizontal="center" vertical="top"/>
    </xf>
    <xf numFmtId="4" fontId="17" fillId="4" borderId="38" xfId="0" applyNumberFormat="1" applyFont="1" applyFill="1" applyBorder="1" applyAlignment="1">
      <alignment horizontal="right" vertical="top"/>
    </xf>
    <xf numFmtId="4" fontId="17" fillId="4" borderId="72" xfId="0" applyNumberFormat="1" applyFont="1" applyFill="1" applyBorder="1" applyAlignment="1">
      <alignment horizontal="right" vertical="top"/>
    </xf>
    <xf numFmtId="4" fontId="16" fillId="4" borderId="72" xfId="0" applyNumberFormat="1" applyFont="1" applyFill="1" applyBorder="1" applyAlignment="1">
      <alignment horizontal="right" vertical="top"/>
    </xf>
    <xf numFmtId="49" fontId="23" fillId="0" borderId="60" xfId="0" applyNumberFormat="1" applyFont="1" applyBorder="1" applyAlignment="1">
      <alignment horizontal="center" vertical="top"/>
    </xf>
    <xf numFmtId="0" fontId="15" fillId="0" borderId="67" xfId="0" applyFont="1" applyBorder="1" applyAlignment="1">
      <alignment horizontal="center" vertical="top"/>
    </xf>
    <xf numFmtId="4" fontId="15" fillId="0" borderId="20" xfId="0" applyNumberFormat="1" applyFont="1" applyBorder="1" applyAlignment="1">
      <alignment horizontal="right" vertical="top"/>
    </xf>
    <xf numFmtId="4" fontId="15" fillId="0" borderId="22" xfId="0" applyNumberFormat="1" applyFont="1" applyBorder="1" applyAlignment="1">
      <alignment horizontal="right" vertical="top"/>
    </xf>
    <xf numFmtId="4" fontId="15" fillId="0" borderId="21" xfId="0" applyNumberFormat="1" applyFont="1" applyBorder="1" applyAlignment="1">
      <alignment horizontal="right" vertical="top"/>
    </xf>
    <xf numFmtId="49" fontId="23" fillId="0" borderId="42" xfId="0" applyNumberFormat="1" applyFont="1" applyBorder="1" applyAlignment="1">
      <alignment horizontal="center" vertical="top"/>
    </xf>
    <xf numFmtId="0" fontId="15" fillId="0" borderId="49" xfId="0" applyFont="1" applyBorder="1" applyAlignment="1">
      <alignment vertical="top" wrapText="1"/>
    </xf>
    <xf numFmtId="49" fontId="23" fillId="4" borderId="44" xfId="0" applyNumberFormat="1" applyFont="1" applyFill="1" applyBorder="1" applyAlignment="1">
      <alignment horizontal="center" vertical="top"/>
    </xf>
    <xf numFmtId="0" fontId="24" fillId="0" borderId="49" xfId="0" applyFont="1" applyBorder="1" applyAlignment="1">
      <alignment vertical="top" wrapText="1"/>
    </xf>
    <xf numFmtId="165" fontId="25" fillId="5" borderId="4" xfId="0" applyNumberFormat="1" applyFont="1" applyFill="1" applyBorder="1" applyAlignment="1">
      <alignment vertical="center"/>
    </xf>
    <xf numFmtId="165" fontId="17" fillId="5" borderId="56" xfId="0" applyNumberFormat="1" applyFont="1" applyFill="1" applyBorder="1" applyAlignment="1">
      <alignment horizontal="center" vertical="center"/>
    </xf>
    <xf numFmtId="0" fontId="17" fillId="5" borderId="56" xfId="0" applyFont="1" applyFill="1" applyBorder="1" applyAlignment="1">
      <alignment vertical="center" wrapText="1"/>
    </xf>
    <xf numFmtId="0" fontId="17" fillId="5" borderId="6" xfId="0" applyFont="1" applyFill="1" applyBorder="1" applyAlignment="1">
      <alignment horizontal="center" vertical="center"/>
    </xf>
    <xf numFmtId="4" fontId="17" fillId="8" borderId="66" xfId="0" applyNumberFormat="1" applyFont="1" applyFill="1" applyBorder="1" applyAlignment="1">
      <alignment horizontal="right" vertical="center"/>
    </xf>
    <xf numFmtId="4" fontId="17" fillId="5" borderId="18" xfId="0" applyNumberFormat="1" applyFont="1" applyFill="1" applyBorder="1" applyAlignment="1">
      <alignment horizontal="right" vertical="center"/>
    </xf>
    <xf numFmtId="4" fontId="17" fillId="5" borderId="74" xfId="0" applyNumberFormat="1" applyFont="1" applyFill="1" applyBorder="1" applyAlignment="1">
      <alignment horizontal="right" vertical="center"/>
    </xf>
    <xf numFmtId="4" fontId="17" fillId="5" borderId="75" xfId="0" applyNumberFormat="1" applyFont="1" applyFill="1" applyBorder="1" applyAlignment="1">
      <alignment horizontal="right" vertical="center"/>
    </xf>
    <xf numFmtId="4" fontId="17" fillId="5" borderId="76" xfId="0" applyNumberFormat="1" applyFont="1" applyFill="1" applyBorder="1" applyAlignment="1">
      <alignment horizontal="right" vertical="center"/>
    </xf>
    <xf numFmtId="4" fontId="17" fillId="5" borderId="15" xfId="0" applyNumberFormat="1" applyFont="1" applyFill="1" applyBorder="1" applyAlignment="1">
      <alignment horizontal="right" vertical="center"/>
    </xf>
    <xf numFmtId="0" fontId="17" fillId="2" borderId="8" xfId="0" applyFont="1" applyFill="1" applyBorder="1" applyAlignment="1">
      <alignment vertical="center"/>
    </xf>
    <xf numFmtId="0" fontId="23" fillId="2" borderId="53" xfId="0" applyFont="1" applyFill="1" applyBorder="1" applyAlignment="1">
      <alignment horizontal="center" vertical="center"/>
    </xf>
    <xf numFmtId="0" fontId="17" fillId="2" borderId="48" xfId="0" applyFont="1" applyFill="1" applyBorder="1" applyAlignment="1">
      <alignment vertical="center"/>
    </xf>
    <xf numFmtId="0" fontId="15" fillId="2" borderId="48" xfId="0" applyFont="1" applyFill="1" applyBorder="1" applyAlignment="1">
      <alignment horizontal="center" vertical="center"/>
    </xf>
    <xf numFmtId="4" fontId="16" fillId="2" borderId="63" xfId="0" applyNumberFormat="1" applyFont="1" applyFill="1" applyBorder="1" applyAlignment="1">
      <alignment horizontal="right" vertical="top"/>
    </xf>
    <xf numFmtId="0" fontId="23" fillId="0" borderId="0" xfId="0" applyFont="1" applyAlignment="1">
      <alignment vertical="top"/>
    </xf>
    <xf numFmtId="4" fontId="16" fillId="4" borderId="70" xfId="0" applyNumberFormat="1" applyFont="1" applyFill="1" applyBorder="1" applyAlignment="1">
      <alignment horizontal="right" vertical="top"/>
    </xf>
    <xf numFmtId="0" fontId="15" fillId="0" borderId="41" xfId="0" applyFont="1" applyBorder="1" applyAlignment="1">
      <alignment vertical="top" wrapText="1"/>
    </xf>
    <xf numFmtId="0" fontId="24" fillId="0" borderId="46" xfId="0" applyFont="1" applyBorder="1" applyAlignment="1">
      <alignment vertical="top" wrapText="1"/>
    </xf>
    <xf numFmtId="4" fontId="17" fillId="5" borderId="77" xfId="0" applyNumberFormat="1" applyFont="1" applyFill="1" applyBorder="1" applyAlignment="1">
      <alignment horizontal="right" vertical="center"/>
    </xf>
    <xf numFmtId="4" fontId="17" fillId="5" borderId="78" xfId="0" applyNumberFormat="1" applyFont="1" applyFill="1" applyBorder="1" applyAlignment="1">
      <alignment horizontal="right" vertical="center"/>
    </xf>
    <xf numFmtId="4" fontId="16" fillId="5" borderId="3" xfId="0" applyNumberFormat="1" applyFont="1" applyFill="1" applyBorder="1" applyAlignment="1">
      <alignment horizontal="right" vertical="center"/>
    </xf>
    <xf numFmtId="165" fontId="17" fillId="4" borderId="2" xfId="0" applyNumberFormat="1" applyFont="1" applyFill="1" applyBorder="1" applyAlignment="1">
      <alignment vertical="top"/>
    </xf>
    <xf numFmtId="49" fontId="23" fillId="4" borderId="58" xfId="0" applyNumberFormat="1" applyFont="1" applyFill="1" applyBorder="1" applyAlignment="1">
      <alignment horizontal="center" vertical="top"/>
    </xf>
    <xf numFmtId="0" fontId="26" fillId="4" borderId="55" xfId="0" applyFont="1" applyFill="1" applyBorder="1" applyAlignment="1">
      <alignment vertical="top" wrapText="1"/>
    </xf>
    <xf numFmtId="0" fontId="17" fillId="4" borderId="65" xfId="0" applyFont="1" applyFill="1" applyBorder="1" applyAlignment="1">
      <alignment horizontal="center" vertical="top"/>
    </xf>
    <xf numFmtId="4" fontId="17" fillId="4" borderId="80" xfId="0" applyNumberFormat="1" applyFont="1" applyFill="1" applyBorder="1" applyAlignment="1">
      <alignment horizontal="right" vertical="top"/>
    </xf>
    <xf numFmtId="4" fontId="17" fillId="4" borderId="35" xfId="0" applyNumberFormat="1" applyFont="1" applyFill="1" applyBorder="1" applyAlignment="1">
      <alignment horizontal="right" vertical="top"/>
    </xf>
    <xf numFmtId="4" fontId="17" fillId="4" borderId="81" xfId="0" applyNumberFormat="1" applyFont="1" applyFill="1" applyBorder="1" applyAlignment="1">
      <alignment horizontal="right" vertical="top"/>
    </xf>
    <xf numFmtId="4" fontId="16" fillId="4" borderId="68" xfId="0" applyNumberFormat="1" applyFont="1" applyFill="1" applyBorder="1" applyAlignment="1">
      <alignment horizontal="right" vertical="top"/>
    </xf>
    <xf numFmtId="4" fontId="15" fillId="0" borderId="72" xfId="0" applyNumberFormat="1" applyFont="1" applyBorder="1" applyAlignment="1">
      <alignment horizontal="right" vertical="top" wrapText="1"/>
    </xf>
    <xf numFmtId="0" fontId="5" fillId="0" borderId="72" xfId="0" applyFont="1" applyBorder="1" applyAlignment="1">
      <alignment horizontal="center" vertical="top" wrapText="1"/>
    </xf>
    <xf numFmtId="0" fontId="27" fillId="0" borderId="72" xfId="0" applyFont="1" applyBorder="1" applyAlignment="1">
      <alignment wrapText="1"/>
    </xf>
    <xf numFmtId="0" fontId="26" fillId="4" borderId="45" xfId="0" applyFont="1" applyFill="1" applyBorder="1" applyAlignment="1">
      <alignment vertical="top" wrapText="1"/>
    </xf>
    <xf numFmtId="0" fontId="24" fillId="0" borderId="41" xfId="0" applyFont="1" applyBorder="1" applyAlignment="1">
      <alignment horizontal="center" vertical="top"/>
    </xf>
    <xf numFmtId="0" fontId="5" fillId="0" borderId="72" xfId="0" applyFont="1" applyBorder="1" applyAlignment="1">
      <alignment horizontal="center" vertical="top"/>
    </xf>
    <xf numFmtId="0" fontId="27" fillId="0" borderId="72" xfId="0" applyFont="1" applyBorder="1"/>
    <xf numFmtId="0" fontId="27" fillId="0" borderId="0" xfId="0" applyFont="1"/>
    <xf numFmtId="49" fontId="23" fillId="4" borderId="67" xfId="0" applyNumberFormat="1" applyFont="1" applyFill="1" applyBorder="1" applyAlignment="1">
      <alignment horizontal="center" vertical="top"/>
    </xf>
    <xf numFmtId="0" fontId="26" fillId="4" borderId="72" xfId="0" applyFont="1" applyFill="1" applyBorder="1" applyAlignment="1">
      <alignment vertical="top" wrapText="1"/>
    </xf>
    <xf numFmtId="0" fontId="17" fillId="4" borderId="45" xfId="0" applyFont="1" applyFill="1" applyBorder="1" applyAlignment="1">
      <alignment horizontal="center" vertical="top"/>
    </xf>
    <xf numFmtId="0" fontId="24" fillId="0" borderId="51" xfId="0" applyFont="1" applyBorder="1" applyAlignment="1">
      <alignment horizontal="center" vertical="top"/>
    </xf>
    <xf numFmtId="0" fontId="24" fillId="0" borderId="52" xfId="0" applyFont="1" applyBorder="1" applyAlignment="1">
      <alignment horizontal="center" vertical="top"/>
    </xf>
    <xf numFmtId="4" fontId="16" fillId="5" borderId="15" xfId="0" applyNumberFormat="1" applyFont="1" applyFill="1" applyBorder="1" applyAlignment="1">
      <alignment horizontal="right" vertical="top"/>
    </xf>
    <xf numFmtId="0" fontId="17" fillId="2" borderId="4" xfId="0" applyFont="1" applyFill="1" applyBorder="1" applyAlignment="1">
      <alignment vertical="center"/>
    </xf>
    <xf numFmtId="0" fontId="23" fillId="2" borderId="15" xfId="0" applyFont="1" applyFill="1" applyBorder="1" applyAlignment="1">
      <alignment horizontal="center" vertical="center"/>
    </xf>
    <xf numFmtId="0" fontId="17" fillId="2" borderId="56" xfId="0" applyFont="1" applyFill="1" applyBorder="1" applyAlignment="1">
      <alignment vertical="center"/>
    </xf>
    <xf numFmtId="4" fontId="16" fillId="2" borderId="39" xfId="0" applyNumberFormat="1" applyFont="1" applyFill="1" applyBorder="1" applyAlignment="1">
      <alignment horizontal="right" vertical="top"/>
    </xf>
    <xf numFmtId="4" fontId="16" fillId="4" borderId="82" xfId="0" applyNumberFormat="1" applyFont="1" applyFill="1" applyBorder="1" applyAlignment="1">
      <alignment horizontal="right" vertical="top"/>
    </xf>
    <xf numFmtId="0" fontId="24" fillId="0" borderId="40" xfId="0" applyFont="1" applyBorder="1" applyAlignment="1">
      <alignment vertical="top" wrapText="1"/>
    </xf>
    <xf numFmtId="0" fontId="17" fillId="4" borderId="15" xfId="0" applyFont="1" applyFill="1" applyBorder="1" applyAlignment="1">
      <alignment horizontal="center" vertical="top"/>
    </xf>
    <xf numFmtId="4" fontId="17" fillId="4" borderId="82" xfId="0" applyNumberFormat="1" applyFont="1" applyFill="1" applyBorder="1" applyAlignment="1">
      <alignment horizontal="right" vertical="top"/>
    </xf>
    <xf numFmtId="0" fontId="24" fillId="0" borderId="67" xfId="0" applyFont="1" applyBorder="1" applyAlignment="1">
      <alignment horizontal="center" vertical="top"/>
    </xf>
    <xf numFmtId="0" fontId="25" fillId="4" borderId="44" xfId="0" applyFont="1" applyFill="1" applyBorder="1" applyAlignment="1">
      <alignment vertical="top" wrapText="1"/>
    </xf>
    <xf numFmtId="0" fontId="17" fillId="4" borderId="54" xfId="0" applyFont="1" applyFill="1" applyBorder="1" applyAlignment="1">
      <alignment horizontal="center" vertical="top"/>
    </xf>
    <xf numFmtId="0" fontId="15" fillId="0" borderId="23" xfId="0" applyFont="1" applyBorder="1" applyAlignment="1">
      <alignment vertical="top" wrapText="1"/>
    </xf>
    <xf numFmtId="0" fontId="15" fillId="0" borderId="61" xfId="0" applyFont="1" applyBorder="1" applyAlignment="1">
      <alignment vertical="top" wrapText="1"/>
    </xf>
    <xf numFmtId="0" fontId="26" fillId="4" borderId="45" xfId="0" applyFont="1" applyFill="1" applyBorder="1" applyAlignment="1">
      <alignment horizontal="left" vertical="top" wrapText="1"/>
    </xf>
    <xf numFmtId="0" fontId="26" fillId="4" borderId="54" xfId="0" applyFont="1" applyFill="1" applyBorder="1" applyAlignment="1">
      <alignment horizontal="left" vertical="top" wrapText="1"/>
    </xf>
    <xf numFmtId="4" fontId="16" fillId="5" borderId="15" xfId="0" applyNumberFormat="1" applyFont="1" applyFill="1" applyBorder="1" applyAlignment="1">
      <alignment horizontal="right" vertical="center"/>
    </xf>
    <xf numFmtId="4" fontId="16" fillId="5" borderId="6" xfId="0" applyNumberFormat="1" applyFont="1" applyFill="1" applyBorder="1" applyAlignment="1">
      <alignment horizontal="right" vertical="center"/>
    </xf>
    <xf numFmtId="4" fontId="16" fillId="2" borderId="55" xfId="0" applyNumberFormat="1" applyFont="1" applyFill="1" applyBorder="1" applyAlignment="1">
      <alignment horizontal="right" vertical="center"/>
    </xf>
    <xf numFmtId="4" fontId="15" fillId="0" borderId="40" xfId="0" applyNumberFormat="1" applyFont="1" applyBorder="1" applyAlignment="1">
      <alignment horizontal="right" vertical="top"/>
    </xf>
    <xf numFmtId="4" fontId="16" fillId="0" borderId="69" xfId="0" applyNumberFormat="1" applyFont="1" applyBorder="1" applyAlignment="1">
      <alignment horizontal="right" vertical="top"/>
    </xf>
    <xf numFmtId="4" fontId="16" fillId="0" borderId="82" xfId="0" applyNumberFormat="1" applyFont="1" applyBorder="1" applyAlignment="1">
      <alignment horizontal="right" vertical="top"/>
    </xf>
    <xf numFmtId="4" fontId="16" fillId="0" borderId="24" xfId="0" applyNumberFormat="1" applyFont="1" applyBorder="1" applyAlignment="1">
      <alignment horizontal="right" vertical="top"/>
    </xf>
    <xf numFmtId="49" fontId="23" fillId="0" borderId="52" xfId="0" applyNumberFormat="1" applyFont="1" applyBorder="1" applyAlignment="1">
      <alignment horizontal="center" vertical="top"/>
    </xf>
    <xf numFmtId="0" fontId="15" fillId="0" borderId="49" xfId="0" applyFont="1" applyBorder="1" applyAlignment="1">
      <alignment horizontal="center" vertical="top"/>
    </xf>
    <xf numFmtId="4" fontId="15" fillId="0" borderId="36" xfId="0" applyNumberFormat="1" applyFont="1" applyBorder="1" applyAlignment="1">
      <alignment horizontal="right" vertical="top"/>
    </xf>
    <xf numFmtId="4" fontId="16" fillId="0" borderId="68" xfId="0" applyNumberFormat="1" applyFont="1" applyBorder="1" applyAlignment="1">
      <alignment horizontal="right" vertical="top"/>
    </xf>
    <xf numFmtId="4" fontId="15" fillId="0" borderId="38" xfId="0" applyNumberFormat="1" applyFont="1" applyBorder="1" applyAlignment="1">
      <alignment horizontal="right" vertical="top"/>
    </xf>
    <xf numFmtId="0" fontId="2" fillId="0" borderId="72" xfId="0" applyFont="1" applyBorder="1" applyAlignment="1">
      <alignment horizontal="center" vertical="top"/>
    </xf>
    <xf numFmtId="4" fontId="15" fillId="0" borderId="80" xfId="0" applyNumberFormat="1" applyFont="1" applyBorder="1" applyAlignment="1">
      <alignment horizontal="right" vertical="top"/>
    </xf>
    <xf numFmtId="4" fontId="15" fillId="0" borderId="35" xfId="0" applyNumberFormat="1" applyFont="1" applyBorder="1" applyAlignment="1">
      <alignment horizontal="right" vertical="top"/>
    </xf>
    <xf numFmtId="4" fontId="15" fillId="0" borderId="81" xfId="0" applyNumberFormat="1" applyFont="1" applyBorder="1" applyAlignment="1">
      <alignment horizontal="right" vertical="top"/>
    </xf>
    <xf numFmtId="4" fontId="15" fillId="0" borderId="85" xfId="0" applyNumberFormat="1" applyFont="1" applyBorder="1" applyAlignment="1">
      <alignment horizontal="right" vertical="top"/>
    </xf>
    <xf numFmtId="0" fontId="2" fillId="0" borderId="49" xfId="0" applyFont="1" applyBorder="1" applyAlignment="1">
      <alignment horizontal="center" vertical="top"/>
    </xf>
    <xf numFmtId="0" fontId="24" fillId="0" borderId="72" xfId="0" applyFont="1" applyBorder="1" applyAlignment="1">
      <alignment vertical="top" wrapText="1"/>
    </xf>
    <xf numFmtId="4" fontId="16" fillId="0" borderId="28" xfId="0" applyNumberFormat="1" applyFont="1" applyBorder="1" applyAlignment="1">
      <alignment horizontal="right" vertical="top"/>
    </xf>
    <xf numFmtId="4" fontId="16" fillId="0" borderId="86" xfId="0" applyNumberFormat="1" applyFont="1" applyBorder="1" applyAlignment="1">
      <alignment horizontal="right" vertical="top"/>
    </xf>
    <xf numFmtId="165" fontId="25" fillId="5" borderId="8" xfId="0" applyNumberFormat="1" applyFont="1" applyFill="1" applyBorder="1" applyAlignment="1">
      <alignment vertical="center"/>
    </xf>
    <xf numFmtId="165" fontId="17" fillId="5" borderId="55" xfId="0" applyNumberFormat="1" applyFont="1" applyFill="1" applyBorder="1" applyAlignment="1">
      <alignment horizontal="center" vertical="center"/>
    </xf>
    <xf numFmtId="0" fontId="17" fillId="5" borderId="48" xfId="0" applyFont="1" applyFill="1" applyBorder="1" applyAlignment="1">
      <alignment vertical="center" wrapText="1"/>
    </xf>
    <xf numFmtId="0" fontId="23" fillId="2" borderId="48" xfId="0" applyFont="1" applyFill="1" applyBorder="1" applyAlignment="1">
      <alignment vertical="center"/>
    </xf>
    <xf numFmtId="4" fontId="24" fillId="0" borderId="24" xfId="0" applyNumberFormat="1" applyFont="1" applyBorder="1" applyAlignment="1">
      <alignment horizontal="right" vertical="top"/>
    </xf>
    <xf numFmtId="4" fontId="24" fillId="0" borderId="26" xfId="0" applyNumberFormat="1" applyFont="1" applyBorder="1" applyAlignment="1">
      <alignment horizontal="right" vertical="top"/>
    </xf>
    <xf numFmtId="165" fontId="17" fillId="5" borderId="48" xfId="0" applyNumberFormat="1" applyFont="1" applyFill="1" applyBorder="1" applyAlignment="1">
      <alignment horizontal="center" vertical="center"/>
    </xf>
    <xf numFmtId="4" fontId="17" fillId="5" borderId="66" xfId="0" applyNumberFormat="1" applyFont="1" applyFill="1" applyBorder="1" applyAlignment="1">
      <alignment horizontal="right" vertical="center"/>
    </xf>
    <xf numFmtId="4" fontId="16" fillId="2" borderId="48" xfId="0" applyNumberFormat="1" applyFont="1" applyFill="1" applyBorder="1" applyAlignment="1">
      <alignment horizontal="right" vertical="center"/>
    </xf>
    <xf numFmtId="164" fontId="23" fillId="0" borderId="23" xfId="0" applyNumberFormat="1" applyFont="1" applyBorder="1" applyAlignment="1">
      <alignment horizontal="center" vertical="top"/>
    </xf>
    <xf numFmtId="164" fontId="23" fillId="0" borderId="51" xfId="0" applyNumberFormat="1" applyFont="1" applyBorder="1" applyAlignment="1">
      <alignment horizontal="center" vertical="top"/>
    </xf>
    <xf numFmtId="165" fontId="3" fillId="0" borderId="52" xfId="0" applyNumberFormat="1" applyFont="1" applyBorder="1" applyAlignment="1">
      <alignment vertical="top"/>
    </xf>
    <xf numFmtId="0" fontId="27" fillId="0" borderId="55" xfId="0" applyFont="1" applyBorder="1" applyAlignment="1">
      <alignment wrapText="1"/>
    </xf>
    <xf numFmtId="164" fontId="23" fillId="0" borderId="73" xfId="0" applyNumberFormat="1" applyFont="1" applyBorder="1" applyAlignment="1">
      <alignment horizontal="center" vertical="top"/>
    </xf>
    <xf numFmtId="165" fontId="3" fillId="0" borderId="65" xfId="0" applyNumberFormat="1" applyFont="1" applyBorder="1" applyAlignment="1">
      <alignment vertical="top"/>
    </xf>
    <xf numFmtId="164" fontId="23" fillId="0" borderId="65" xfId="0" applyNumberFormat="1" applyFont="1" applyBorder="1" applyAlignment="1">
      <alignment horizontal="center" vertical="top"/>
    </xf>
    <xf numFmtId="165" fontId="17" fillId="0" borderId="65" xfId="0" applyNumberFormat="1" applyFont="1" applyBorder="1" applyAlignment="1">
      <alignment vertical="top"/>
    </xf>
    <xf numFmtId="164" fontId="23" fillId="0" borderId="55" xfId="0" applyNumberFormat="1" applyFont="1" applyBorder="1" applyAlignment="1">
      <alignment horizontal="center" vertical="top"/>
    </xf>
    <xf numFmtId="0" fontId="24" fillId="0" borderId="48" xfId="0" applyFont="1" applyBorder="1" applyAlignment="1">
      <alignment vertical="top" wrapText="1"/>
    </xf>
    <xf numFmtId="0" fontId="15" fillId="0" borderId="48" xfId="0" applyFont="1" applyBorder="1" applyAlignment="1">
      <alignment horizontal="center" vertical="top"/>
    </xf>
    <xf numFmtId="4" fontId="15" fillId="0" borderId="63" xfId="0" applyNumberFormat="1" applyFont="1" applyBorder="1" applyAlignment="1">
      <alignment horizontal="right" vertical="top"/>
    </xf>
    <xf numFmtId="4" fontId="16" fillId="0" borderId="55" xfId="0" applyNumberFormat="1" applyFont="1" applyBorder="1" applyAlignment="1">
      <alignment horizontal="right" vertical="top"/>
    </xf>
    <xf numFmtId="10" fontId="16" fillId="0" borderId="55" xfId="0" applyNumberFormat="1" applyFont="1" applyBorder="1" applyAlignment="1">
      <alignment horizontal="right" vertical="top"/>
    </xf>
    <xf numFmtId="4" fontId="16" fillId="0" borderId="44" xfId="0" applyNumberFormat="1" applyFont="1" applyBorder="1" applyAlignment="1">
      <alignment horizontal="right" vertical="top"/>
    </xf>
    <xf numFmtId="164" fontId="23" fillId="0" borderId="61" xfId="0" applyNumberFormat="1" applyFont="1" applyBorder="1" applyAlignment="1">
      <alignment horizontal="center" vertical="top"/>
    </xf>
    <xf numFmtId="0" fontId="15" fillId="0" borderId="61" xfId="0" applyFont="1" applyBorder="1" applyAlignment="1">
      <alignment horizontal="center" vertical="top"/>
    </xf>
    <xf numFmtId="4" fontId="16" fillId="0" borderId="61" xfId="0" applyNumberFormat="1" applyFont="1" applyBorder="1" applyAlignment="1">
      <alignment horizontal="right" vertical="top"/>
    </xf>
    <xf numFmtId="164" fontId="23" fillId="0" borderId="42" xfId="0" applyNumberFormat="1" applyFont="1" applyBorder="1" applyAlignment="1">
      <alignment horizontal="center" vertical="top"/>
    </xf>
    <xf numFmtId="0" fontId="24" fillId="0" borderId="50" xfId="0" applyFont="1" applyBorder="1" applyAlignment="1">
      <alignment vertical="top" wrapText="1"/>
    </xf>
    <xf numFmtId="0" fontId="15" fillId="0" borderId="42" xfId="0" applyFont="1" applyBorder="1" applyAlignment="1">
      <alignment horizontal="center" vertical="top"/>
    </xf>
    <xf numFmtId="165" fontId="17" fillId="0" borderId="23" xfId="0" applyNumberFormat="1" applyFont="1" applyBorder="1" applyAlignment="1">
      <alignment vertical="top"/>
    </xf>
    <xf numFmtId="0" fontId="15" fillId="0" borderId="45" xfId="0" applyFont="1" applyBorder="1" applyAlignment="1">
      <alignment vertical="top" wrapText="1"/>
    </xf>
    <xf numFmtId="165" fontId="17" fillId="0" borderId="61" xfId="0" applyNumberFormat="1" applyFont="1" applyBorder="1" applyAlignment="1">
      <alignment vertical="top"/>
    </xf>
    <xf numFmtId="4" fontId="16" fillId="0" borderId="42" xfId="0" applyNumberFormat="1" applyFont="1" applyBorder="1" applyAlignment="1">
      <alignment horizontal="right" vertical="top"/>
    </xf>
    <xf numFmtId="0" fontId="15" fillId="2" borderId="66" xfId="0" applyFont="1" applyFill="1" applyBorder="1" applyAlignment="1">
      <alignment horizontal="center" vertical="center"/>
    </xf>
    <xf numFmtId="0" fontId="2" fillId="0" borderId="55" xfId="0" applyFont="1" applyBorder="1" applyAlignment="1">
      <alignment vertical="top" wrapText="1"/>
    </xf>
    <xf numFmtId="0" fontId="17" fillId="5" borderId="9" xfId="0" applyFont="1" applyFill="1" applyBorder="1" applyAlignment="1">
      <alignment horizontal="center" vertical="center"/>
    </xf>
    <xf numFmtId="0" fontId="23" fillId="2" borderId="58" xfId="0" applyFont="1" applyFill="1" applyBorder="1" applyAlignment="1">
      <alignment horizontal="center" vertical="center"/>
    </xf>
    <xf numFmtId="0" fontId="26" fillId="4" borderId="59" xfId="0" applyFont="1" applyFill="1" applyBorder="1" applyAlignment="1">
      <alignment horizontal="left" vertical="top" wrapText="1"/>
    </xf>
    <xf numFmtId="4" fontId="17" fillId="4" borderId="87" xfId="0" applyNumberFormat="1" applyFont="1" applyFill="1" applyBorder="1" applyAlignment="1">
      <alignment horizontal="right" vertical="top"/>
    </xf>
    <xf numFmtId="4" fontId="17" fillId="4" borderId="44" xfId="0" applyNumberFormat="1" applyFont="1" applyFill="1" applyBorder="1" applyAlignment="1">
      <alignment horizontal="right" vertical="top"/>
    </xf>
    <xf numFmtId="0" fontId="15" fillId="0" borderId="39" xfId="0" applyFont="1" applyBorder="1" applyAlignment="1">
      <alignment vertical="top" wrapText="1"/>
    </xf>
    <xf numFmtId="0" fontId="15" fillId="0" borderId="34" xfId="0" applyFont="1" applyBorder="1" applyAlignment="1">
      <alignment vertical="top" wrapText="1"/>
    </xf>
    <xf numFmtId="4" fontId="15" fillId="0" borderId="50" xfId="0" applyNumberFormat="1" applyFont="1" applyBorder="1" applyAlignment="1">
      <alignment horizontal="right" vertical="top"/>
    </xf>
    <xf numFmtId="0" fontId="26" fillId="4" borderId="66" xfId="0" applyFont="1" applyFill="1" applyBorder="1" applyAlignment="1">
      <alignment horizontal="left" vertical="top" wrapText="1"/>
    </xf>
    <xf numFmtId="0" fontId="25" fillId="4" borderId="54" xfId="0" applyFont="1" applyFill="1" applyBorder="1" applyAlignment="1">
      <alignment horizontal="left" vertical="top" wrapText="1"/>
    </xf>
    <xf numFmtId="49" fontId="4" fillId="0" borderId="52" xfId="0" applyNumberFormat="1" applyFont="1" applyBorder="1" applyAlignment="1">
      <alignment horizontal="center" vertical="top"/>
    </xf>
    <xf numFmtId="165" fontId="25" fillId="5" borderId="2" xfId="0" applyNumberFormat="1" applyFont="1" applyFill="1" applyBorder="1" applyAlignment="1">
      <alignment vertical="center"/>
    </xf>
    <xf numFmtId="0" fontId="17" fillId="5" borderId="55" xfId="0" applyFont="1" applyFill="1" applyBorder="1" applyAlignment="1">
      <alignment vertical="center" wrapText="1"/>
    </xf>
    <xf numFmtId="0" fontId="17" fillId="5" borderId="3" xfId="0" applyFont="1" applyFill="1" applyBorder="1" applyAlignment="1">
      <alignment horizontal="center" vertical="center"/>
    </xf>
    <xf numFmtId="4" fontId="17" fillId="5" borderId="17" xfId="0" applyNumberFormat="1" applyFont="1" applyFill="1" applyBorder="1" applyAlignment="1">
      <alignment horizontal="right" vertical="center"/>
    </xf>
    <xf numFmtId="165" fontId="17" fillId="3" borderId="4" xfId="0" applyNumberFormat="1" applyFont="1" applyFill="1" applyBorder="1" applyAlignment="1">
      <alignment vertical="center"/>
    </xf>
    <xf numFmtId="165" fontId="17" fillId="3" borderId="56" xfId="0" applyNumberFormat="1" applyFont="1" applyFill="1" applyBorder="1" applyAlignment="1">
      <alignment horizontal="center" vertical="center"/>
    </xf>
    <xf numFmtId="0" fontId="17" fillId="3" borderId="56" xfId="0" applyFont="1" applyFill="1" applyBorder="1" applyAlignment="1">
      <alignment vertical="center" wrapText="1"/>
    </xf>
    <xf numFmtId="0" fontId="17" fillId="3" borderId="56" xfId="0" applyFont="1" applyFill="1" applyBorder="1" applyAlignment="1">
      <alignment horizontal="center" vertical="center"/>
    </xf>
    <xf numFmtId="4" fontId="17" fillId="3" borderId="4" xfId="0" applyNumberFormat="1" applyFont="1" applyFill="1" applyBorder="1" applyAlignment="1">
      <alignment horizontal="right" vertical="center"/>
    </xf>
    <xf numFmtId="4" fontId="17" fillId="3" borderId="6" xfId="0" applyNumberFormat="1" applyFont="1" applyFill="1" applyBorder="1" applyAlignment="1">
      <alignment horizontal="right" vertical="center"/>
    </xf>
    <xf numFmtId="4" fontId="17" fillId="3" borderId="9" xfId="0" applyNumberFormat="1" applyFont="1" applyFill="1" applyBorder="1" applyAlignment="1">
      <alignment horizontal="right" vertical="center"/>
    </xf>
    <xf numFmtId="4" fontId="16" fillId="0" borderId="0" xfId="0" applyNumberFormat="1" applyFont="1" applyAlignment="1">
      <alignment horizontal="right" vertical="center"/>
    </xf>
    <xf numFmtId="0" fontId="17" fillId="3" borderId="6" xfId="0" applyFont="1" applyFill="1" applyBorder="1" applyAlignment="1">
      <alignment horizontal="center" vertical="center"/>
    </xf>
    <xf numFmtId="4" fontId="17" fillId="3" borderId="16" xfId="0" applyNumberFormat="1" applyFont="1" applyFill="1" applyBorder="1" applyAlignment="1">
      <alignment horizontal="right" vertical="center"/>
    </xf>
    <xf numFmtId="4" fontId="16" fillId="3" borderId="16" xfId="0" applyNumberFormat="1" applyFont="1" applyFill="1" applyBorder="1" applyAlignment="1">
      <alignment horizontal="right" vertical="center"/>
    </xf>
    <xf numFmtId="0" fontId="17" fillId="0" borderId="0" xfId="0" applyFont="1" applyAlignment="1">
      <alignment horizontal="center"/>
    </xf>
    <xf numFmtId="0" fontId="15" fillId="0" borderId="0" xfId="0" applyFont="1" applyAlignment="1">
      <alignment horizontal="center"/>
    </xf>
    <xf numFmtId="4" fontId="2" fillId="0" borderId="0" xfId="0" applyNumberFormat="1" applyFont="1" applyAlignment="1">
      <alignment horizontal="right"/>
    </xf>
    <xf numFmtId="0" fontId="17" fillId="0" borderId="45" xfId="0" applyFont="1" applyBorder="1" applyAlignment="1">
      <alignment horizontal="center"/>
    </xf>
    <xf numFmtId="4" fontId="15" fillId="0" borderId="45" xfId="0" applyNumberFormat="1" applyFont="1" applyBorder="1" applyAlignment="1">
      <alignment horizontal="right"/>
    </xf>
    <xf numFmtId="4" fontId="17" fillId="0" borderId="0" xfId="0" applyNumberFormat="1" applyFont="1" applyAlignment="1">
      <alignment horizontal="right"/>
    </xf>
    <xf numFmtId="0" fontId="29" fillId="0" borderId="0" xfId="0" applyFont="1" applyAlignment="1">
      <alignment wrapText="1"/>
    </xf>
    <xf numFmtId="0" fontId="30" fillId="0" borderId="0" xfId="0" applyFont="1" applyAlignment="1">
      <alignment horizontal="center"/>
    </xf>
    <xf numFmtId="0" fontId="29" fillId="0" borderId="0" xfId="0" applyFont="1" applyAlignment="1">
      <alignment horizontal="left" wrapText="1"/>
    </xf>
    <xf numFmtId="0" fontId="29" fillId="0" borderId="0" xfId="0" applyFont="1" applyAlignment="1">
      <alignment horizontal="center"/>
    </xf>
    <xf numFmtId="4" fontId="29" fillId="0" borderId="0" xfId="0" applyNumberFormat="1" applyFont="1" applyAlignment="1">
      <alignment horizontal="left"/>
    </xf>
    <xf numFmtId="4" fontId="29" fillId="0" borderId="0" xfId="0" applyNumberFormat="1" applyFont="1" applyAlignment="1">
      <alignment horizontal="right"/>
    </xf>
    <xf numFmtId="4" fontId="30" fillId="0" borderId="0" xfId="0" applyNumberFormat="1" applyFont="1" applyAlignment="1">
      <alignment horizontal="right"/>
    </xf>
    <xf numFmtId="0" fontId="29" fillId="0" borderId="0" xfId="0" applyFont="1" applyAlignment="1">
      <alignment horizontal="center" wrapText="1"/>
    </xf>
    <xf numFmtId="4" fontId="19" fillId="0" borderId="0" xfId="0" applyNumberFormat="1" applyFont="1" applyAlignment="1">
      <alignment horizontal="right"/>
    </xf>
    <xf numFmtId="0" fontId="31" fillId="0" borderId="0" xfId="0" applyFont="1" applyAlignment="1">
      <alignment wrapText="1"/>
    </xf>
    <xf numFmtId="0" fontId="29" fillId="0" borderId="0" xfId="0" applyFont="1"/>
    <xf numFmtId="4" fontId="32" fillId="0" borderId="0" xfId="0" applyNumberFormat="1" applyFont="1" applyAlignment="1">
      <alignment horizontal="right"/>
    </xf>
    <xf numFmtId="4" fontId="15" fillId="0" borderId="68" xfId="0" applyNumberFormat="1" applyFont="1" applyFill="1" applyBorder="1" applyAlignment="1">
      <alignment horizontal="right" vertical="top"/>
    </xf>
    <xf numFmtId="4" fontId="15" fillId="0" borderId="33" xfId="0" applyNumberFormat="1" applyFont="1" applyFill="1" applyBorder="1" applyAlignment="1">
      <alignment horizontal="right" vertical="top"/>
    </xf>
    <xf numFmtId="4" fontId="15" fillId="0" borderId="43" xfId="0" applyNumberFormat="1" applyFont="1" applyFill="1" applyBorder="1" applyAlignment="1">
      <alignment horizontal="right" vertical="top"/>
    </xf>
    <xf numFmtId="4" fontId="16" fillId="0" borderId="37" xfId="0" applyNumberFormat="1" applyFont="1" applyFill="1" applyBorder="1" applyAlignment="1">
      <alignment horizontal="right" vertical="top"/>
    </xf>
    <xf numFmtId="0" fontId="15" fillId="0" borderId="0" xfId="0" applyFont="1" applyFill="1" applyAlignment="1">
      <alignment vertical="top"/>
    </xf>
    <xf numFmtId="0" fontId="0" fillId="0" borderId="0" xfId="0" applyFill="1"/>
    <xf numFmtId="165" fontId="17" fillId="6" borderId="52" xfId="0" applyNumberFormat="1" applyFont="1" applyFill="1" applyBorder="1" applyAlignment="1">
      <alignment vertical="top"/>
    </xf>
    <xf numFmtId="49" fontId="23" fillId="6" borderId="61" xfId="0" applyNumberFormat="1" applyFont="1" applyFill="1" applyBorder="1" applyAlignment="1">
      <alignment horizontal="center" vertical="top"/>
    </xf>
    <xf numFmtId="0" fontId="13" fillId="6" borderId="55" xfId="0" applyFont="1" applyFill="1" applyBorder="1" applyAlignment="1">
      <alignment wrapText="1"/>
    </xf>
    <xf numFmtId="0" fontId="5" fillId="6" borderId="52" xfId="0" applyFont="1" applyFill="1" applyBorder="1" applyAlignment="1">
      <alignment horizontal="center" vertical="top"/>
    </xf>
    <xf numFmtId="4" fontId="15" fillId="6" borderId="68" xfId="0" applyNumberFormat="1" applyFont="1" applyFill="1" applyBorder="1" applyAlignment="1">
      <alignment horizontal="right" vertical="top"/>
    </xf>
    <xf numFmtId="4" fontId="15" fillId="6" borderId="33" xfId="0" applyNumberFormat="1" applyFont="1" applyFill="1" applyBorder="1" applyAlignment="1">
      <alignment horizontal="right" vertical="top"/>
    </xf>
    <xf numFmtId="4" fontId="15" fillId="6" borderId="43" xfId="0" applyNumberFormat="1" applyFont="1" applyFill="1" applyBorder="1" applyAlignment="1">
      <alignment horizontal="right" vertical="top"/>
    </xf>
    <xf numFmtId="4" fontId="16" fillId="6" borderId="37" xfId="0" applyNumberFormat="1" applyFont="1" applyFill="1" applyBorder="1" applyAlignment="1">
      <alignment horizontal="right" vertical="top"/>
    </xf>
    <xf numFmtId="4" fontId="16" fillId="6" borderId="63" xfId="0" applyNumberFormat="1" applyFont="1" applyFill="1" applyBorder="1" applyAlignment="1">
      <alignment horizontal="right" vertical="top"/>
    </xf>
    <xf numFmtId="0" fontId="15" fillId="6" borderId="0" xfId="0" applyFont="1" applyFill="1" applyAlignment="1">
      <alignment vertical="top"/>
    </xf>
    <xf numFmtId="0" fontId="0" fillId="6" borderId="0" xfId="0" applyFill="1"/>
    <xf numFmtId="165" fontId="3" fillId="0" borderId="52" xfId="0" applyNumberFormat="1" applyFont="1" applyFill="1" applyBorder="1" applyAlignment="1">
      <alignment vertical="top"/>
    </xf>
    <xf numFmtId="164" fontId="23" fillId="0" borderId="67" xfId="0" applyNumberFormat="1" applyFont="1" applyFill="1" applyBorder="1" applyAlignment="1">
      <alignment horizontal="center" vertical="top"/>
    </xf>
    <xf numFmtId="0" fontId="27" fillId="0" borderId="72" xfId="0" applyFont="1" applyFill="1" applyBorder="1"/>
    <xf numFmtId="0" fontId="2" fillId="0" borderId="72" xfId="0" applyFont="1" applyFill="1" applyBorder="1" applyAlignment="1">
      <alignment horizontal="center" vertical="top"/>
    </xf>
    <xf numFmtId="4" fontId="15" fillId="0" borderId="72" xfId="0" applyNumberFormat="1" applyFont="1" applyFill="1" applyBorder="1" applyAlignment="1">
      <alignment horizontal="right" vertical="top"/>
    </xf>
    <xf numFmtId="4" fontId="15" fillId="0" borderId="37" xfId="0" applyNumberFormat="1" applyFont="1" applyFill="1" applyBorder="1" applyAlignment="1">
      <alignment horizontal="right" vertical="top"/>
    </xf>
    <xf numFmtId="4" fontId="34" fillId="0" borderId="43" xfId="0" applyNumberFormat="1" applyFont="1" applyFill="1" applyBorder="1" applyAlignment="1">
      <alignment horizontal="right" vertical="top"/>
    </xf>
    <xf numFmtId="4" fontId="16" fillId="0" borderId="39" xfId="0" applyNumberFormat="1" applyFont="1" applyFill="1" applyBorder="1" applyAlignment="1">
      <alignment horizontal="right" vertical="top"/>
    </xf>
    <xf numFmtId="49" fontId="4" fillId="0" borderId="65" xfId="0" applyNumberFormat="1" applyFont="1" applyFill="1" applyBorder="1" applyAlignment="1">
      <alignment horizontal="center" vertical="top"/>
    </xf>
    <xf numFmtId="0" fontId="27" fillId="0" borderId="72" xfId="0" applyFont="1" applyFill="1" applyBorder="1" applyAlignment="1">
      <alignment wrapText="1"/>
    </xf>
    <xf numFmtId="0" fontId="2" fillId="0" borderId="83" xfId="0" applyFont="1" applyFill="1" applyBorder="1" applyAlignment="1">
      <alignment horizontal="center" vertical="top"/>
    </xf>
    <xf numFmtId="4" fontId="15" fillId="0" borderId="83" xfId="0" applyNumberFormat="1" applyFont="1" applyFill="1" applyBorder="1" applyAlignment="1">
      <alignment horizontal="right" vertical="top"/>
    </xf>
    <xf numFmtId="0" fontId="5" fillId="0" borderId="50" xfId="0" applyFont="1" applyBorder="1" applyAlignment="1">
      <alignment vertical="top" wrapText="1"/>
    </xf>
    <xf numFmtId="164" fontId="23" fillId="0" borderId="72" xfId="0" applyNumberFormat="1" applyFont="1" applyFill="1" applyBorder="1" applyAlignment="1">
      <alignment horizontal="center" vertical="top"/>
    </xf>
    <xf numFmtId="165" fontId="17" fillId="0" borderId="51" xfId="0" applyNumberFormat="1" applyFont="1" applyFill="1" applyBorder="1" applyAlignment="1">
      <alignment vertical="top"/>
    </xf>
    <xf numFmtId="164" fontId="23" fillId="0" borderId="23" xfId="0" applyNumberFormat="1" applyFont="1" applyFill="1" applyBorder="1" applyAlignment="1">
      <alignment horizontal="center" vertical="top"/>
    </xf>
    <xf numFmtId="0" fontId="27" fillId="0" borderId="0" xfId="0" applyFont="1" applyFill="1"/>
    <xf numFmtId="0" fontId="2" fillId="0" borderId="44" xfId="0" applyFont="1" applyFill="1" applyBorder="1" applyAlignment="1">
      <alignment horizontal="center" vertical="top"/>
    </xf>
    <xf numFmtId="4" fontId="15" fillId="0" borderId="39" xfId="0" applyNumberFormat="1" applyFont="1" applyFill="1" applyBorder="1" applyAlignment="1">
      <alignment horizontal="right" vertical="top"/>
    </xf>
    <xf numFmtId="4" fontId="15" fillId="0" borderId="22" xfId="0" applyNumberFormat="1" applyFont="1" applyFill="1" applyBorder="1" applyAlignment="1">
      <alignment horizontal="right" vertical="top"/>
    </xf>
    <xf numFmtId="4" fontId="15" fillId="0" borderId="21" xfId="0" applyNumberFormat="1" applyFont="1" applyFill="1" applyBorder="1" applyAlignment="1">
      <alignment horizontal="right" vertical="top"/>
    </xf>
    <xf numFmtId="4" fontId="15" fillId="0" borderId="20" xfId="0" applyNumberFormat="1" applyFont="1" applyFill="1" applyBorder="1" applyAlignment="1">
      <alignment horizontal="right" vertical="top"/>
    </xf>
    <xf numFmtId="4" fontId="15" fillId="0" borderId="38" xfId="0" applyNumberFormat="1" applyFont="1" applyFill="1" applyBorder="1" applyAlignment="1">
      <alignment horizontal="right" vertical="top"/>
    </xf>
    <xf numFmtId="4" fontId="16" fillId="0" borderId="44" xfId="0" applyNumberFormat="1" applyFont="1" applyFill="1" applyBorder="1" applyAlignment="1">
      <alignment horizontal="right" vertical="top"/>
    </xf>
    <xf numFmtId="4" fontId="16" fillId="0" borderId="82" xfId="0" applyNumberFormat="1" applyFont="1" applyFill="1" applyBorder="1" applyAlignment="1">
      <alignment horizontal="right" vertical="top"/>
    </xf>
    <xf numFmtId="164" fontId="23" fillId="0" borderId="51" xfId="0" applyNumberFormat="1" applyFont="1" applyFill="1" applyBorder="1" applyAlignment="1">
      <alignment horizontal="center" vertical="top"/>
    </xf>
    <xf numFmtId="0" fontId="2" fillId="0" borderId="47" xfId="0" applyFont="1" applyFill="1" applyBorder="1" applyAlignment="1">
      <alignment horizontal="center" vertical="top"/>
    </xf>
    <xf numFmtId="4" fontId="15" fillId="0" borderId="34" xfId="0" applyNumberFormat="1" applyFont="1" applyFill="1" applyBorder="1" applyAlignment="1">
      <alignment horizontal="right" vertical="top"/>
    </xf>
    <xf numFmtId="4" fontId="15" fillId="0" borderId="26" xfId="0" applyNumberFormat="1" applyFont="1" applyFill="1" applyBorder="1" applyAlignment="1">
      <alignment horizontal="right" vertical="top"/>
    </xf>
    <xf numFmtId="4" fontId="15" fillId="0" borderId="25" xfId="0" applyNumberFormat="1" applyFont="1" applyFill="1" applyBorder="1" applyAlignment="1">
      <alignment horizontal="right" vertical="top"/>
    </xf>
    <xf numFmtId="4" fontId="15" fillId="0" borderId="24" xfId="0" applyNumberFormat="1" applyFont="1" applyFill="1" applyBorder="1" applyAlignment="1">
      <alignment horizontal="right" vertical="top"/>
    </xf>
    <xf numFmtId="4" fontId="15" fillId="0" borderId="40" xfId="0" applyNumberFormat="1" applyFont="1" applyFill="1" applyBorder="1" applyAlignment="1">
      <alignment horizontal="right" vertical="top"/>
    </xf>
    <xf numFmtId="4" fontId="16" fillId="0" borderId="24" xfId="0" applyNumberFormat="1" applyFont="1" applyFill="1" applyBorder="1" applyAlignment="1">
      <alignment horizontal="right" vertical="top"/>
    </xf>
    <xf numFmtId="0" fontId="27" fillId="0" borderId="0" xfId="0" applyFont="1" applyFill="1" applyAlignment="1">
      <alignment wrapText="1"/>
    </xf>
    <xf numFmtId="0" fontId="2" fillId="0" borderId="23" xfId="0" applyFont="1" applyFill="1" applyBorder="1" applyAlignment="1">
      <alignment horizontal="center" vertical="top"/>
    </xf>
    <xf numFmtId="165" fontId="17" fillId="0" borderId="67" xfId="0" applyNumberFormat="1" applyFont="1" applyFill="1" applyBorder="1" applyAlignment="1">
      <alignment vertical="top"/>
    </xf>
    <xf numFmtId="164" fontId="23" fillId="0" borderId="60" xfId="0" applyNumberFormat="1" applyFont="1" applyFill="1" applyBorder="1" applyAlignment="1">
      <alignment horizontal="center" vertical="top"/>
    </xf>
    <xf numFmtId="0" fontId="15" fillId="0" borderId="44" xfId="0" applyFont="1" applyFill="1" applyBorder="1" applyAlignment="1">
      <alignment horizontal="center" vertical="top"/>
    </xf>
    <xf numFmtId="0" fontId="24" fillId="0" borderId="0" xfId="0" applyFont="1" applyFill="1" applyAlignment="1">
      <alignment vertical="top"/>
    </xf>
    <xf numFmtId="49" fontId="23" fillId="0" borderId="23" xfId="0" applyNumberFormat="1" applyFont="1" applyFill="1" applyBorder="1" applyAlignment="1">
      <alignment horizontal="center" vertical="top"/>
    </xf>
    <xf numFmtId="0" fontId="15" fillId="0" borderId="34" xfId="0" applyFont="1" applyFill="1" applyBorder="1" applyAlignment="1">
      <alignment vertical="top" wrapText="1"/>
    </xf>
    <xf numFmtId="0" fontId="15" fillId="0" borderId="51" xfId="0" applyFont="1" applyFill="1" applyBorder="1" applyAlignment="1">
      <alignment horizontal="center" vertical="top"/>
    </xf>
    <xf numFmtId="49" fontId="23" fillId="0" borderId="51" xfId="0" applyNumberFormat="1" applyFont="1" applyFill="1" applyBorder="1" applyAlignment="1">
      <alignment horizontal="center" vertical="top"/>
    </xf>
    <xf numFmtId="0" fontId="2" fillId="0" borderId="41" xfId="0" applyFont="1" applyFill="1" applyBorder="1" applyAlignment="1">
      <alignment horizontal="center" vertical="top"/>
    </xf>
    <xf numFmtId="4" fontId="34" fillId="0" borderId="25" xfId="0" applyNumberFormat="1" applyFont="1" applyFill="1" applyBorder="1" applyAlignment="1">
      <alignment horizontal="right" vertical="top"/>
    </xf>
    <xf numFmtId="4" fontId="16" fillId="0" borderId="34" xfId="0" applyNumberFormat="1" applyFont="1" applyFill="1" applyBorder="1" applyAlignment="1">
      <alignment horizontal="right" vertical="top"/>
    </xf>
    <xf numFmtId="165" fontId="17" fillId="0" borderId="52" xfId="0" applyNumberFormat="1" applyFont="1" applyFill="1" applyBorder="1" applyAlignment="1">
      <alignment vertical="top"/>
    </xf>
    <xf numFmtId="49" fontId="23" fillId="0" borderId="61" xfId="0" applyNumberFormat="1" applyFont="1" applyFill="1" applyBorder="1" applyAlignment="1">
      <alignment horizontal="center" vertical="top"/>
    </xf>
    <xf numFmtId="0" fontId="2" fillId="0" borderId="52" xfId="0" applyFont="1" applyFill="1" applyBorder="1" applyAlignment="1">
      <alignment horizontal="center" vertical="top"/>
    </xf>
    <xf numFmtId="0" fontId="2" fillId="0" borderId="51" xfId="0" applyFont="1" applyFill="1" applyBorder="1" applyAlignment="1">
      <alignment horizontal="center" vertical="top"/>
    </xf>
    <xf numFmtId="0" fontId="8" fillId="0" borderId="72" xfId="0" applyFont="1" applyFill="1" applyBorder="1" applyAlignment="1">
      <alignment wrapText="1"/>
    </xf>
    <xf numFmtId="0" fontId="8" fillId="0" borderId="55" xfId="0" applyFont="1" applyFill="1" applyBorder="1" applyAlignment="1">
      <alignment wrapText="1"/>
    </xf>
    <xf numFmtId="165" fontId="38" fillId="5" borderId="4" xfId="0" applyNumberFormat="1" applyFont="1" applyFill="1" applyBorder="1" applyAlignment="1">
      <alignment vertical="center"/>
    </xf>
    <xf numFmtId="49" fontId="23" fillId="0" borderId="60" xfId="0" applyNumberFormat="1" applyFont="1" applyFill="1" applyBorder="1" applyAlignment="1">
      <alignment horizontal="center" vertical="top"/>
    </xf>
    <xf numFmtId="0" fontId="24" fillId="0" borderId="41" xfId="0" applyFont="1" applyFill="1" applyBorder="1" applyAlignment="1">
      <alignment vertical="top" wrapText="1"/>
    </xf>
    <xf numFmtId="0" fontId="15" fillId="0" borderId="67" xfId="0" applyFont="1" applyFill="1" applyBorder="1" applyAlignment="1">
      <alignment horizontal="center" vertical="top"/>
    </xf>
    <xf numFmtId="49" fontId="23" fillId="0" borderId="42" xfId="0" applyNumberFormat="1" applyFont="1" applyFill="1" applyBorder="1" applyAlignment="1">
      <alignment horizontal="center" vertical="top"/>
    </xf>
    <xf numFmtId="0" fontId="15" fillId="0" borderId="49" xfId="0" applyFont="1" applyFill="1" applyBorder="1" applyAlignment="1">
      <alignment vertical="top" wrapText="1"/>
    </xf>
    <xf numFmtId="0" fontId="15" fillId="0" borderId="52" xfId="0" applyFont="1" applyFill="1" applyBorder="1" applyAlignment="1">
      <alignment horizontal="center" vertical="top"/>
    </xf>
    <xf numFmtId="165" fontId="17" fillId="0" borderId="72" xfId="0" applyNumberFormat="1" applyFont="1" applyFill="1" applyBorder="1" applyAlignment="1">
      <alignment vertical="top"/>
    </xf>
    <xf numFmtId="49" fontId="23" fillId="0" borderId="72" xfId="0" applyNumberFormat="1" applyFont="1" applyFill="1" applyBorder="1" applyAlignment="1">
      <alignment horizontal="center" vertical="top"/>
    </xf>
    <xf numFmtId="0" fontId="15" fillId="0" borderId="72" xfId="0" applyFont="1" applyFill="1" applyBorder="1" applyAlignment="1">
      <alignment horizontal="center" vertical="top"/>
    </xf>
    <xf numFmtId="4" fontId="16" fillId="0" borderId="63" xfId="0" applyNumberFormat="1" applyFont="1" applyFill="1" applyBorder="1" applyAlignment="1">
      <alignment horizontal="right" vertical="top"/>
    </xf>
    <xf numFmtId="165" fontId="3" fillId="0" borderId="72" xfId="0" applyNumberFormat="1" applyFont="1" applyFill="1" applyBorder="1" applyAlignment="1">
      <alignment vertical="top"/>
    </xf>
    <xf numFmtId="49" fontId="4" fillId="0" borderId="72" xfId="0" applyNumberFormat="1" applyFont="1" applyFill="1" applyBorder="1" applyAlignment="1">
      <alignment horizontal="center" vertical="top"/>
    </xf>
    <xf numFmtId="4" fontId="15" fillId="0" borderId="73" xfId="0" applyNumberFormat="1" applyFont="1" applyFill="1" applyBorder="1" applyAlignment="1">
      <alignment horizontal="right" vertical="top"/>
    </xf>
    <xf numFmtId="4" fontId="16" fillId="0" borderId="72" xfId="0" applyNumberFormat="1" applyFont="1" applyFill="1" applyBorder="1" applyAlignment="1">
      <alignment horizontal="right" vertical="top"/>
    </xf>
    <xf numFmtId="0" fontId="8" fillId="0" borderId="0" xfId="0" applyFont="1" applyFill="1" applyAlignment="1">
      <alignment wrapText="1"/>
    </xf>
    <xf numFmtId="0" fontId="5" fillId="0" borderId="51" xfId="0" applyFont="1" applyFill="1" applyBorder="1" applyAlignment="1">
      <alignment horizontal="center" vertical="top"/>
    </xf>
    <xf numFmtId="0" fontId="5" fillId="0" borderId="72" xfId="0" applyFont="1" applyFill="1" applyBorder="1" applyAlignment="1">
      <alignment horizontal="center" vertical="top"/>
    </xf>
    <xf numFmtId="49" fontId="4" fillId="0" borderId="52" xfId="0" applyNumberFormat="1" applyFont="1" applyFill="1" applyBorder="1" applyAlignment="1">
      <alignment horizontal="center" vertical="top"/>
    </xf>
    <xf numFmtId="0" fontId="2" fillId="0" borderId="49" xfId="0" applyFont="1" applyFill="1" applyBorder="1" applyAlignment="1">
      <alignment horizontal="center" vertical="top"/>
    </xf>
    <xf numFmtId="0" fontId="24" fillId="0" borderId="72" xfId="0" applyFont="1" applyFill="1" applyBorder="1" applyAlignment="1">
      <alignment horizontal="center" vertical="top" wrapText="1"/>
    </xf>
    <xf numFmtId="4" fontId="15" fillId="0" borderId="72" xfId="0" applyNumberFormat="1" applyFont="1" applyFill="1" applyBorder="1" applyAlignment="1">
      <alignment horizontal="right" vertical="top" wrapText="1"/>
    </xf>
    <xf numFmtId="4" fontId="34" fillId="0" borderId="72" xfId="0" applyNumberFormat="1" applyFont="1" applyFill="1" applyBorder="1" applyAlignment="1">
      <alignment horizontal="right" vertical="top" wrapText="1"/>
    </xf>
    <xf numFmtId="0" fontId="5" fillId="0" borderId="72" xfId="0" applyFont="1" applyFill="1" applyBorder="1" applyAlignment="1">
      <alignment horizontal="center" vertical="top" wrapText="1"/>
    </xf>
    <xf numFmtId="0" fontId="13" fillId="0" borderId="72" xfId="0" applyFont="1" applyFill="1" applyBorder="1" applyAlignment="1">
      <alignment wrapText="1"/>
    </xf>
    <xf numFmtId="0" fontId="24" fillId="0" borderId="41" xfId="0" applyFont="1" applyFill="1" applyBorder="1" applyAlignment="1">
      <alignment horizontal="center" vertical="top"/>
    </xf>
    <xf numFmtId="4" fontId="34" fillId="0" borderId="72" xfId="0" applyNumberFormat="1" applyFont="1" applyFill="1" applyBorder="1" applyAlignment="1">
      <alignment horizontal="right" vertical="top"/>
    </xf>
    <xf numFmtId="0" fontId="2" fillId="0" borderId="0" xfId="0" applyFont="1" applyFill="1" applyAlignment="1">
      <alignment vertical="top"/>
    </xf>
    <xf numFmtId="0" fontId="24" fillId="0" borderId="51" xfId="0" applyFont="1" applyFill="1" applyBorder="1" applyAlignment="1">
      <alignment horizontal="center" vertical="top"/>
    </xf>
    <xf numFmtId="0" fontId="28" fillId="0" borderId="72" xfId="0" applyFont="1" applyFill="1" applyBorder="1" applyAlignment="1">
      <alignment wrapText="1"/>
    </xf>
    <xf numFmtId="49" fontId="23" fillId="0" borderId="62" xfId="0" applyNumberFormat="1" applyFont="1" applyFill="1" applyBorder="1" applyAlignment="1">
      <alignment horizontal="center" vertical="top"/>
    </xf>
    <xf numFmtId="0" fontId="24" fillId="0" borderId="49" xfId="0" applyFont="1" applyFill="1" applyBorder="1" applyAlignment="1">
      <alignment horizontal="center" vertical="top"/>
    </xf>
    <xf numFmtId="4" fontId="16" fillId="0" borderId="69" xfId="0" applyNumberFormat="1" applyFont="1" applyFill="1" applyBorder="1" applyAlignment="1">
      <alignment horizontal="right" vertical="top"/>
    </xf>
    <xf numFmtId="0" fontId="15" fillId="0" borderId="41" xfId="0" applyFont="1" applyFill="1" applyBorder="1" applyAlignment="1">
      <alignment horizontal="center" vertical="top"/>
    </xf>
    <xf numFmtId="49" fontId="23" fillId="0" borderId="52" xfId="0" applyNumberFormat="1" applyFont="1" applyFill="1" applyBorder="1" applyAlignment="1">
      <alignment horizontal="center" vertical="top"/>
    </xf>
    <xf numFmtId="0" fontId="27" fillId="0" borderId="83" xfId="0" applyFont="1" applyFill="1" applyBorder="1"/>
    <xf numFmtId="0" fontId="15" fillId="0" borderId="49" xfId="0" applyFont="1" applyFill="1" applyBorder="1" applyAlignment="1">
      <alignment horizontal="center" vertical="top"/>
    </xf>
    <xf numFmtId="4" fontId="15" fillId="0" borderId="36" xfId="0" applyNumberFormat="1" applyFont="1" applyFill="1" applyBorder="1" applyAlignment="1">
      <alignment horizontal="right" vertical="top"/>
    </xf>
    <xf numFmtId="4" fontId="16" fillId="0" borderId="68" xfId="0" applyNumberFormat="1" applyFont="1" applyFill="1" applyBorder="1" applyAlignment="1">
      <alignment horizontal="right" vertical="top"/>
    </xf>
    <xf numFmtId="0" fontId="15" fillId="0" borderId="55" xfId="0" applyFont="1" applyFill="1" applyBorder="1" applyAlignment="1">
      <alignment vertical="top"/>
    </xf>
    <xf numFmtId="0" fontId="0" fillId="0" borderId="55" xfId="0" applyFill="1" applyBorder="1"/>
    <xf numFmtId="0" fontId="15" fillId="0" borderId="72" xfId="0" applyFont="1" applyFill="1" applyBorder="1" applyAlignment="1">
      <alignment vertical="top"/>
    </xf>
    <xf numFmtId="0" fontId="0" fillId="0" borderId="72" xfId="0" applyFill="1" applyBorder="1"/>
    <xf numFmtId="4" fontId="16" fillId="0" borderId="20" xfId="0" applyNumberFormat="1" applyFont="1" applyFill="1" applyBorder="1" applyAlignment="1">
      <alignment horizontal="right" vertical="top"/>
    </xf>
    <xf numFmtId="165" fontId="3" fillId="0" borderId="84" xfId="0" applyNumberFormat="1" applyFont="1" applyFill="1" applyBorder="1" applyAlignment="1">
      <alignment vertical="top"/>
    </xf>
    <xf numFmtId="49" fontId="4" fillId="0" borderId="84" xfId="0" applyNumberFormat="1" applyFont="1" applyFill="1" applyBorder="1" applyAlignment="1">
      <alignment horizontal="center" vertical="top"/>
    </xf>
    <xf numFmtId="0" fontId="27" fillId="0" borderId="84" xfId="0" applyFont="1" applyFill="1" applyBorder="1" applyAlignment="1">
      <alignment wrapText="1"/>
    </xf>
    <xf numFmtId="0" fontId="2" fillId="0" borderId="55" xfId="0" applyFont="1" applyFill="1" applyBorder="1" applyAlignment="1">
      <alignment horizontal="center" vertical="top"/>
    </xf>
    <xf numFmtId="4" fontId="15" fillId="0" borderId="80" xfId="0" applyNumberFormat="1" applyFont="1" applyFill="1" applyBorder="1" applyAlignment="1">
      <alignment horizontal="right" vertical="top"/>
    </xf>
    <xf numFmtId="4" fontId="15" fillId="0" borderId="35" xfId="0" applyNumberFormat="1" applyFont="1" applyFill="1" applyBorder="1" applyAlignment="1">
      <alignment horizontal="right" vertical="top"/>
    </xf>
    <xf numFmtId="4" fontId="15" fillId="0" borderId="81" xfId="0" applyNumberFormat="1" applyFont="1" applyFill="1" applyBorder="1" applyAlignment="1">
      <alignment horizontal="right" vertical="top"/>
    </xf>
    <xf numFmtId="4" fontId="24" fillId="0" borderId="24" xfId="0" applyNumberFormat="1" applyFont="1" applyFill="1" applyBorder="1" applyAlignment="1">
      <alignment horizontal="right" vertical="top"/>
    </xf>
    <xf numFmtId="4" fontId="24" fillId="0" borderId="26" xfId="0" applyNumberFormat="1" applyFont="1" applyFill="1" applyBorder="1" applyAlignment="1">
      <alignment horizontal="right" vertical="top"/>
    </xf>
    <xf numFmtId="165" fontId="17" fillId="0" borderId="57" xfId="0" applyNumberFormat="1" applyFont="1" applyFill="1" applyBorder="1" applyAlignment="1">
      <alignment vertical="top"/>
    </xf>
    <xf numFmtId="164" fontId="23" fillId="0" borderId="44" xfId="0" applyNumberFormat="1" applyFont="1" applyFill="1" applyBorder="1" applyAlignment="1">
      <alignment horizontal="center" vertical="top"/>
    </xf>
    <xf numFmtId="0" fontId="2" fillId="0" borderId="54" xfId="0" applyFont="1" applyFill="1" applyBorder="1" applyAlignment="1">
      <alignment vertical="top" wrapText="1"/>
    </xf>
    <xf numFmtId="4" fontId="15" fillId="0" borderId="82" xfId="0" applyNumberFormat="1" applyFont="1" applyFill="1" applyBorder="1" applyAlignment="1">
      <alignment horizontal="right" vertical="top"/>
    </xf>
    <xf numFmtId="4" fontId="15" fillId="0" borderId="70" xfId="0" applyNumberFormat="1" applyFont="1" applyFill="1" applyBorder="1" applyAlignment="1">
      <alignment horizontal="right" vertical="top"/>
    </xf>
    <xf numFmtId="4" fontId="15" fillId="0" borderId="71" xfId="0" applyNumberFormat="1" applyFont="1" applyFill="1" applyBorder="1" applyAlignment="1">
      <alignment horizontal="right" vertical="top"/>
    </xf>
    <xf numFmtId="4" fontId="15" fillId="0" borderId="69" xfId="0" applyNumberFormat="1" applyFont="1" applyFill="1" applyBorder="1" applyAlignment="1">
      <alignment horizontal="right" vertical="top"/>
    </xf>
    <xf numFmtId="0" fontId="2" fillId="0" borderId="41" xfId="0" applyFont="1" applyFill="1" applyBorder="1" applyAlignment="1">
      <alignment vertical="top" wrapText="1"/>
    </xf>
    <xf numFmtId="165" fontId="33" fillId="0" borderId="51" xfId="0" applyNumberFormat="1" applyFont="1" applyFill="1" applyBorder="1" applyAlignment="1">
      <alignment vertical="top"/>
    </xf>
    <xf numFmtId="164" fontId="33" fillId="0" borderId="23" xfId="0" applyNumberFormat="1" applyFont="1" applyFill="1" applyBorder="1" applyAlignment="1">
      <alignment horizontal="center" vertical="top"/>
    </xf>
    <xf numFmtId="0" fontId="36" fillId="0" borderId="0" xfId="0" applyFont="1" applyFill="1"/>
    <xf numFmtId="0" fontId="34" fillId="0" borderId="23" xfId="0" applyFont="1" applyFill="1" applyBorder="1" applyAlignment="1">
      <alignment horizontal="center" vertical="top"/>
    </xf>
    <xf numFmtId="4" fontId="34" fillId="0" borderId="34" xfId="0" applyNumberFormat="1" applyFont="1" applyFill="1" applyBorder="1" applyAlignment="1">
      <alignment horizontal="right" vertical="top"/>
    </xf>
    <xf numFmtId="4" fontId="34" fillId="0" borderId="26" xfId="0" applyNumberFormat="1" applyFont="1" applyFill="1" applyBorder="1" applyAlignment="1">
      <alignment horizontal="right" vertical="top"/>
    </xf>
    <xf numFmtId="4" fontId="34" fillId="0" borderId="24" xfId="0" applyNumberFormat="1" applyFont="1" applyFill="1" applyBorder="1" applyAlignment="1">
      <alignment horizontal="right" vertical="top"/>
    </xf>
    <xf numFmtId="0" fontId="34" fillId="0" borderId="0" xfId="0" applyFont="1" applyFill="1" applyAlignment="1">
      <alignment vertical="top"/>
    </xf>
    <xf numFmtId="0" fontId="11" fillId="0" borderId="0" xfId="0" applyFont="1" applyFill="1"/>
    <xf numFmtId="0" fontId="2" fillId="0" borderId="79" xfId="0" applyFont="1" applyFill="1" applyBorder="1" applyAlignment="1">
      <alignment horizontal="center" vertical="top"/>
    </xf>
    <xf numFmtId="164" fontId="23" fillId="0" borderId="52" xfId="0" applyNumberFormat="1" applyFont="1" applyFill="1" applyBorder="1" applyAlignment="1">
      <alignment horizontal="center" vertical="top"/>
    </xf>
    <xf numFmtId="0" fontId="15" fillId="0" borderId="47" xfId="0" applyFont="1" applyFill="1" applyBorder="1" applyAlignment="1">
      <alignment horizontal="center" vertical="top"/>
    </xf>
    <xf numFmtId="4" fontId="16" fillId="0" borderId="23" xfId="0" applyNumberFormat="1" applyFont="1" applyFill="1" applyBorder="1" applyAlignment="1">
      <alignment horizontal="right" vertical="top"/>
    </xf>
    <xf numFmtId="49" fontId="4" fillId="0" borderId="62" xfId="0" applyNumberFormat="1" applyFont="1" applyFill="1" applyBorder="1" applyAlignment="1">
      <alignment horizontal="center" vertical="top"/>
    </xf>
    <xf numFmtId="0" fontId="24" fillId="0" borderId="72" xfId="0" applyFont="1" applyFill="1" applyBorder="1" applyAlignment="1">
      <alignment vertical="top" wrapText="1"/>
    </xf>
    <xf numFmtId="0" fontId="15" fillId="0" borderId="46" xfId="0" applyFont="1" applyFill="1" applyBorder="1" applyAlignment="1">
      <alignment horizontal="center" vertical="top"/>
    </xf>
    <xf numFmtId="0" fontId="15" fillId="0" borderId="0" xfId="0" applyFont="1" applyFill="1" applyAlignment="1">
      <alignment vertical="center"/>
    </xf>
    <xf numFmtId="4" fontId="37" fillId="0" borderId="0" xfId="1" applyNumberFormat="1" applyFill="1" applyAlignment="1">
      <alignment horizontal="right"/>
    </xf>
    <xf numFmtId="4" fontId="33" fillId="0" borderId="72" xfId="0" applyNumberFormat="1" applyFont="1" applyFill="1" applyBorder="1" applyAlignment="1">
      <alignment horizontal="right" vertical="top"/>
    </xf>
    <xf numFmtId="4" fontId="16" fillId="6" borderId="72" xfId="0" applyNumberFormat="1" applyFont="1" applyFill="1" applyBorder="1" applyAlignment="1">
      <alignment horizontal="right" vertical="top"/>
    </xf>
    <xf numFmtId="4" fontId="16" fillId="6" borderId="39" xfId="0" applyNumberFormat="1" applyFont="1" applyFill="1" applyBorder="1" applyAlignment="1">
      <alignment horizontal="right" vertical="top"/>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40" fillId="0" borderId="0" xfId="0" applyFont="1" applyAlignment="1">
      <alignment wrapText="1"/>
    </xf>
    <xf numFmtId="0" fontId="40" fillId="0" borderId="0" xfId="0" applyFont="1" applyAlignment="1">
      <alignment vertical="top" wrapText="1"/>
    </xf>
    <xf numFmtId="4" fontId="40" fillId="0" borderId="0" xfId="0" applyNumberFormat="1" applyFont="1"/>
    <xf numFmtId="0" fontId="40" fillId="0" borderId="0" xfId="0" applyFont="1"/>
    <xf numFmtId="0" fontId="41" fillId="0" borderId="0" xfId="0" applyFont="1" applyAlignment="1">
      <alignment horizontal="right" wrapText="1"/>
    </xf>
    <xf numFmtId="0" fontId="43" fillId="0" borderId="0" xfId="0" applyFont="1" applyAlignment="1">
      <alignment horizontal="center" vertical="top" wrapText="1"/>
    </xf>
    <xf numFmtId="0" fontId="40" fillId="0" borderId="0" xfId="0" applyFont="1" applyAlignment="1">
      <alignment vertical="top"/>
    </xf>
    <xf numFmtId="0" fontId="44" fillId="0" borderId="0" xfId="0" applyFont="1" applyAlignment="1">
      <alignment horizontal="center" vertical="top" wrapText="1"/>
    </xf>
    <xf numFmtId="0" fontId="43" fillId="0" borderId="0" xfId="0" applyFont="1" applyAlignment="1">
      <alignment vertical="top"/>
    </xf>
    <xf numFmtId="0" fontId="40" fillId="6" borderId="0" xfId="0" applyFont="1" applyFill="1" applyAlignment="1">
      <alignment vertical="top"/>
    </xf>
    <xf numFmtId="0" fontId="43" fillId="0" borderId="40" xfId="0" applyFont="1" applyBorder="1" applyAlignment="1">
      <alignment horizontal="center" wrapText="1"/>
    </xf>
    <xf numFmtId="0" fontId="40" fillId="6" borderId="0" xfId="0" applyFont="1" applyFill="1"/>
    <xf numFmtId="0" fontId="46" fillId="6" borderId="0" xfId="0" applyFont="1" applyFill="1" applyAlignment="1">
      <alignment vertical="top"/>
    </xf>
    <xf numFmtId="0" fontId="46" fillId="6" borderId="0" xfId="0" applyFont="1" applyFill="1"/>
    <xf numFmtId="0" fontId="48" fillId="2" borderId="72" xfId="0" applyFont="1" applyFill="1" applyBorder="1" applyAlignment="1">
      <alignment horizontal="center" vertical="top"/>
    </xf>
    <xf numFmtId="0" fontId="43" fillId="2" borderId="72" xfId="0" applyFont="1" applyFill="1" applyBorder="1" applyAlignment="1">
      <alignment vertical="top"/>
    </xf>
    <xf numFmtId="0" fontId="43" fillId="2" borderId="72" xfId="0" applyFont="1" applyFill="1" applyBorder="1" applyAlignment="1">
      <alignment wrapText="1"/>
    </xf>
    <xf numFmtId="164" fontId="48" fillId="0" borderId="51" xfId="0" applyNumberFormat="1" applyFont="1" applyBorder="1" applyAlignment="1">
      <alignment horizontal="center"/>
    </xf>
    <xf numFmtId="164" fontId="48" fillId="6" borderId="72" xfId="0" applyNumberFormat="1" applyFont="1" applyFill="1" applyBorder="1" applyAlignment="1">
      <alignment horizontal="center" vertical="top"/>
    </xf>
    <xf numFmtId="4" fontId="40" fillId="6" borderId="72" xfId="0" applyNumberFormat="1" applyFont="1" applyFill="1" applyBorder="1" applyAlignment="1">
      <alignment vertical="top" wrapText="1"/>
    </xf>
    <xf numFmtId="49" fontId="48" fillId="6" borderId="51" xfId="0" applyNumberFormat="1" applyFont="1" applyFill="1" applyBorder="1" applyAlignment="1">
      <alignment horizontal="center"/>
    </xf>
    <xf numFmtId="4" fontId="46" fillId="6" borderId="72" xfId="0" applyNumberFormat="1" applyFont="1" applyFill="1" applyBorder="1" applyAlignment="1">
      <alignment vertical="top" wrapText="1"/>
    </xf>
    <xf numFmtId="0" fontId="46" fillId="6" borderId="72" xfId="0" applyFont="1" applyFill="1" applyBorder="1" applyAlignment="1">
      <alignment wrapText="1"/>
    </xf>
    <xf numFmtId="0" fontId="48" fillId="0" borderId="51" xfId="0" applyFont="1" applyBorder="1" applyAlignment="1">
      <alignment horizontal="center"/>
    </xf>
    <xf numFmtId="0" fontId="43" fillId="13" borderId="72" xfId="0" applyFont="1" applyFill="1" applyBorder="1" applyAlignment="1">
      <alignment vertical="top" wrapText="1"/>
    </xf>
    <xf numFmtId="0" fontId="40" fillId="0" borderId="72" xfId="0" applyFont="1" applyBorder="1" applyAlignment="1">
      <alignment wrapText="1"/>
    </xf>
    <xf numFmtId="0" fontId="40" fillId="2" borderId="55" xfId="0" applyFont="1" applyFill="1" applyBorder="1"/>
    <xf numFmtId="0" fontId="46" fillId="0" borderId="0" xfId="0" applyFont="1" applyAlignment="1">
      <alignment vertical="top"/>
    </xf>
    <xf numFmtId="0" fontId="40" fillId="6" borderId="89" xfId="0" applyFont="1" applyFill="1" applyBorder="1" applyAlignment="1">
      <alignment vertical="top"/>
    </xf>
    <xf numFmtId="0" fontId="40" fillId="6" borderId="72" xfId="0" applyFont="1" applyFill="1" applyBorder="1" applyAlignment="1">
      <alignment vertical="top"/>
    </xf>
    <xf numFmtId="0" fontId="46" fillId="6" borderId="55" xfId="0" applyFont="1" applyFill="1" applyBorder="1" applyAlignment="1">
      <alignment vertical="top"/>
    </xf>
    <xf numFmtId="0" fontId="46" fillId="6" borderId="72" xfId="0" applyFont="1" applyFill="1" applyBorder="1" applyAlignment="1">
      <alignment vertical="top"/>
    </xf>
    <xf numFmtId="2" fontId="46" fillId="6" borderId="72" xfId="0" applyNumberFormat="1" applyFont="1" applyFill="1" applyBorder="1" applyAlignment="1">
      <alignment vertical="top"/>
    </xf>
    <xf numFmtId="0" fontId="40" fillId="6" borderId="73" xfId="0" applyFont="1" applyFill="1" applyBorder="1" applyAlignment="1">
      <alignment vertical="top"/>
    </xf>
    <xf numFmtId="0" fontId="40" fillId="6" borderId="55" xfId="0" applyFont="1" applyFill="1" applyBorder="1" applyAlignment="1">
      <alignment vertical="top"/>
    </xf>
    <xf numFmtId="0" fontId="40" fillId="11" borderId="55" xfId="0" applyFont="1" applyFill="1" applyBorder="1" applyAlignment="1">
      <alignment vertical="top"/>
    </xf>
    <xf numFmtId="49" fontId="48" fillId="11" borderId="72" xfId="0" applyNumberFormat="1" applyFont="1" applyFill="1" applyBorder="1" applyAlignment="1">
      <alignment horizontal="center" vertical="top"/>
    </xf>
    <xf numFmtId="0" fontId="40" fillId="11" borderId="72" xfId="0" applyFont="1" applyFill="1" applyBorder="1" applyAlignment="1">
      <alignment vertical="top" wrapText="1"/>
    </xf>
    <xf numFmtId="0" fontId="40" fillId="11" borderId="88" xfId="0" applyFont="1" applyFill="1" applyBorder="1" applyAlignment="1">
      <alignment vertical="top"/>
    </xf>
    <xf numFmtId="0" fontId="40" fillId="6" borderId="88" xfId="0" applyFont="1" applyFill="1" applyBorder="1" applyAlignment="1">
      <alignment vertical="top"/>
    </xf>
    <xf numFmtId="0" fontId="2" fillId="6" borderId="72" xfId="0" applyFont="1" applyFill="1" applyBorder="1" applyAlignment="1">
      <alignment vertical="top"/>
    </xf>
    <xf numFmtId="0" fontId="40" fillId="0" borderId="72" xfId="0" applyFont="1" applyBorder="1"/>
    <xf numFmtId="0" fontId="47" fillId="6" borderId="72" xfId="0" applyFont="1" applyFill="1" applyBorder="1" applyAlignment="1">
      <alignment vertical="top" wrapText="1"/>
    </xf>
    <xf numFmtId="0" fontId="40" fillId="0" borderId="55" xfId="0" applyFont="1" applyBorder="1"/>
    <xf numFmtId="0" fontId="41" fillId="6" borderId="0" xfId="0" applyFont="1" applyFill="1"/>
    <xf numFmtId="0" fontId="40" fillId="6" borderId="0" xfId="0" applyFont="1" applyFill="1" applyAlignment="1">
      <alignment vertical="center"/>
    </xf>
    <xf numFmtId="0" fontId="46" fillId="6" borderId="72" xfId="0" applyFont="1" applyFill="1" applyBorder="1"/>
    <xf numFmtId="49" fontId="48" fillId="0" borderId="51" xfId="0" applyNumberFormat="1" applyFont="1" applyBorder="1" applyAlignment="1">
      <alignment horizontal="center"/>
    </xf>
    <xf numFmtId="0" fontId="40" fillId="0" borderId="72" xfId="0" applyFont="1" applyBorder="1" applyAlignment="1">
      <alignment horizontal="center" wrapText="1"/>
    </xf>
    <xf numFmtId="4" fontId="40" fillId="0" borderId="72" xfId="0" applyNumberFormat="1" applyFont="1" applyBorder="1" applyAlignment="1">
      <alignment wrapText="1"/>
    </xf>
    <xf numFmtId="0" fontId="40" fillId="0" borderId="0" xfId="0" applyFont="1" applyAlignment="1">
      <alignment horizontal="left" vertical="top"/>
    </xf>
    <xf numFmtId="10" fontId="35" fillId="0" borderId="24" xfId="0" applyNumberFormat="1" applyFont="1" applyBorder="1" applyAlignment="1">
      <alignment horizontal="center" vertical="center"/>
    </xf>
    <xf numFmtId="10" fontId="35" fillId="0" borderId="28" xfId="0" applyNumberFormat="1" applyFont="1" applyBorder="1" applyAlignment="1">
      <alignment horizontal="center" vertical="center"/>
    </xf>
    <xf numFmtId="10" fontId="35" fillId="0" borderId="16" xfId="0" applyNumberFormat="1" applyFont="1" applyBorder="1" applyAlignment="1">
      <alignment horizontal="center" vertical="center"/>
    </xf>
    <xf numFmtId="0" fontId="15" fillId="0" borderId="0" xfId="0" applyFont="1" applyAlignment="1">
      <alignment horizontal="left" wrapText="1"/>
    </xf>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center" wrapText="1"/>
    </xf>
    <xf numFmtId="0" fontId="17" fillId="9" borderId="58" xfId="0" applyFont="1" applyFill="1" applyBorder="1" applyAlignment="1">
      <alignment horizontal="left" vertical="center" wrapText="1"/>
    </xf>
    <xf numFmtId="0" fontId="0" fillId="3" borderId="3" xfId="0" applyFill="1" applyBorder="1" applyAlignment="1">
      <alignment horizontal="left" vertical="center" wrapText="1"/>
    </xf>
    <xf numFmtId="0" fontId="31" fillId="0" borderId="0" xfId="0" applyFont="1" applyAlignment="1">
      <alignment horizontal="left" wrapText="1"/>
    </xf>
    <xf numFmtId="0" fontId="0" fillId="0" borderId="0" xfId="0" applyAlignment="1">
      <alignment horizontal="left"/>
    </xf>
    <xf numFmtId="0" fontId="15" fillId="0" borderId="72" xfId="0" applyFont="1" applyFill="1" applyBorder="1" applyAlignment="1">
      <alignment horizontal="left" vertical="center" wrapText="1"/>
    </xf>
    <xf numFmtId="0" fontId="17" fillId="4" borderId="72" xfId="0" applyFont="1" applyFill="1" applyBorder="1" applyAlignment="1">
      <alignment horizontal="left" vertical="center" wrapText="1"/>
    </xf>
    <xf numFmtId="0" fontId="15" fillId="0" borderId="72" xfId="0" applyFont="1" applyBorder="1" applyAlignment="1">
      <alignment horizontal="left" vertical="center" wrapText="1"/>
    </xf>
    <xf numFmtId="0" fontId="2" fillId="0" borderId="72" xfId="0" applyFont="1" applyFill="1" applyBorder="1" applyAlignment="1">
      <alignment horizontal="left" vertical="center" wrapText="1"/>
    </xf>
    <xf numFmtId="0" fontId="2" fillId="0" borderId="45" xfId="0" applyFont="1" applyBorder="1" applyAlignment="1">
      <alignment wrapText="1"/>
    </xf>
    <xf numFmtId="0" fontId="2" fillId="0" borderId="45" xfId="0" applyFont="1" applyBorder="1"/>
    <xf numFmtId="10" fontId="16" fillId="0" borderId="45" xfId="0" applyNumberFormat="1" applyFont="1" applyFill="1" applyBorder="1" applyAlignment="1">
      <alignment horizontal="right" vertical="top"/>
    </xf>
    <xf numFmtId="10" fontId="16" fillId="0" borderId="45" xfId="0" applyNumberFormat="1" applyFont="1" applyBorder="1" applyAlignment="1">
      <alignment horizontal="right" vertical="top"/>
    </xf>
    <xf numFmtId="0" fontId="15" fillId="0" borderId="81" xfId="0" applyFont="1" applyBorder="1" applyAlignment="1">
      <alignment horizontal="left" vertical="center" wrapText="1"/>
    </xf>
    <xf numFmtId="0" fontId="34" fillId="17" borderId="72" xfId="0" applyFont="1" applyFill="1" applyBorder="1" applyAlignment="1">
      <alignment horizontal="left" vertical="center" wrapText="1"/>
    </xf>
    <xf numFmtId="4" fontId="16" fillId="5" borderId="56" xfId="0" applyNumberFormat="1" applyFont="1" applyFill="1" applyBorder="1" applyAlignment="1">
      <alignment horizontal="right" vertical="center"/>
    </xf>
    <xf numFmtId="10" fontId="16" fillId="0" borderId="54" xfId="0" applyNumberFormat="1" applyFont="1" applyFill="1" applyBorder="1" applyAlignment="1">
      <alignment horizontal="right" vertical="top"/>
    </xf>
    <xf numFmtId="10" fontId="16" fillId="0" borderId="55" xfId="0" applyNumberFormat="1" applyFont="1" applyFill="1" applyBorder="1" applyAlignment="1">
      <alignment horizontal="right" vertical="top"/>
    </xf>
    <xf numFmtId="10" fontId="16" fillId="0" borderId="73" xfId="0" applyNumberFormat="1" applyFont="1" applyFill="1" applyBorder="1" applyAlignment="1">
      <alignment horizontal="right" vertical="top"/>
    </xf>
    <xf numFmtId="10" fontId="16" fillId="0" borderId="48" xfId="0" applyNumberFormat="1" applyFont="1" applyBorder="1" applyAlignment="1">
      <alignment horizontal="right" vertical="top"/>
    </xf>
    <xf numFmtId="10" fontId="16" fillId="0" borderId="54" xfId="0" applyNumberFormat="1" applyFont="1" applyBorder="1" applyAlignment="1">
      <alignment horizontal="right" vertical="top"/>
    </xf>
    <xf numFmtId="10" fontId="16" fillId="0" borderId="73" xfId="0" applyNumberFormat="1" applyFont="1" applyBorder="1" applyAlignment="1">
      <alignment horizontal="right" vertical="top"/>
    </xf>
    <xf numFmtId="10" fontId="16" fillId="3" borderId="45" xfId="0" applyNumberFormat="1" applyFont="1" applyFill="1" applyBorder="1" applyAlignment="1">
      <alignment horizontal="right" vertical="top"/>
    </xf>
    <xf numFmtId="4" fontId="16" fillId="0" borderId="55" xfId="0" applyNumberFormat="1" applyFont="1" applyBorder="1" applyAlignment="1">
      <alignment horizontal="right" vertical="center"/>
    </xf>
    <xf numFmtId="4" fontId="16" fillId="3" borderId="4" xfId="0" applyNumberFormat="1" applyFont="1" applyFill="1" applyBorder="1" applyAlignment="1">
      <alignment horizontal="right" vertical="center"/>
    </xf>
    <xf numFmtId="0" fontId="15" fillId="0" borderId="55" xfId="0" applyFont="1" applyBorder="1" applyAlignment="1">
      <alignment vertical="top"/>
    </xf>
    <xf numFmtId="0" fontId="17" fillId="0" borderId="55" xfId="0" applyFont="1" applyBorder="1" applyAlignment="1">
      <alignment vertical="top"/>
    </xf>
    <xf numFmtId="0" fontId="15" fillId="0" borderId="55" xfId="0" applyFont="1" applyBorder="1" applyAlignment="1">
      <alignment vertical="center"/>
    </xf>
    <xf numFmtId="0" fontId="15" fillId="0" borderId="89" xfId="0" applyFont="1" applyFill="1" applyBorder="1" applyAlignment="1">
      <alignment vertical="top"/>
    </xf>
    <xf numFmtId="0" fontId="24" fillId="0" borderId="55" xfId="0" applyFont="1" applyFill="1" applyBorder="1" applyAlignment="1">
      <alignment vertical="top"/>
    </xf>
    <xf numFmtId="0" fontId="34" fillId="0" borderId="55" xfId="0" applyFont="1" applyFill="1" applyBorder="1" applyAlignment="1">
      <alignment vertical="top"/>
    </xf>
    <xf numFmtId="0" fontId="24" fillId="0" borderId="55" xfId="0" applyFont="1" applyBorder="1" applyAlignment="1">
      <alignment vertical="top"/>
    </xf>
    <xf numFmtId="0" fontId="24" fillId="0" borderId="55" xfId="0" applyFont="1" applyBorder="1" applyAlignment="1">
      <alignment vertical="center"/>
    </xf>
    <xf numFmtId="0" fontId="15" fillId="0" borderId="55" xfId="0" applyFont="1" applyFill="1" applyBorder="1" applyAlignment="1">
      <alignment vertical="center"/>
    </xf>
    <xf numFmtId="0" fontId="17" fillId="4" borderId="74" xfId="0" applyFont="1" applyFill="1" applyBorder="1" applyAlignment="1">
      <alignment horizontal="left" vertical="center" wrapText="1"/>
    </xf>
    <xf numFmtId="0" fontId="17" fillId="5" borderId="72" xfId="0" applyFont="1" applyFill="1" applyBorder="1" applyAlignment="1">
      <alignment horizontal="left" vertical="center" wrapText="1"/>
    </xf>
    <xf numFmtId="0" fontId="15" fillId="2" borderId="72" xfId="0" applyFont="1" applyFill="1" applyBorder="1" applyAlignment="1">
      <alignment horizontal="left" vertical="center" wrapText="1"/>
    </xf>
    <xf numFmtId="0" fontId="34" fillId="0" borderId="72" xfId="0" applyFont="1" applyFill="1" applyBorder="1" applyAlignment="1">
      <alignment horizontal="left" vertical="center" wrapText="1"/>
    </xf>
    <xf numFmtId="4" fontId="17" fillId="4" borderId="72" xfId="0" applyNumberFormat="1" applyFont="1" applyFill="1" applyBorder="1" applyAlignment="1">
      <alignment horizontal="left" vertical="center" wrapText="1"/>
    </xf>
    <xf numFmtId="0" fontId="17" fillId="3" borderId="72" xfId="0" applyFont="1" applyFill="1" applyBorder="1" applyAlignment="1">
      <alignment horizontal="left" vertical="center" wrapText="1"/>
    </xf>
    <xf numFmtId="10" fontId="16" fillId="4" borderId="45" xfId="0" applyNumberFormat="1" applyFont="1" applyFill="1" applyBorder="1" applyAlignment="1">
      <alignment horizontal="right" vertical="top"/>
    </xf>
    <xf numFmtId="4" fontId="15" fillId="4" borderId="87" xfId="0" applyNumberFormat="1" applyFont="1" applyFill="1" applyBorder="1" applyAlignment="1">
      <alignment horizontal="right" vertical="top"/>
    </xf>
    <xf numFmtId="10" fontId="16" fillId="4" borderId="73" xfId="0" applyNumberFormat="1" applyFont="1" applyFill="1" applyBorder="1" applyAlignment="1">
      <alignment horizontal="right" vertical="top"/>
    </xf>
    <xf numFmtId="4" fontId="17" fillId="4" borderId="45" xfId="0" applyNumberFormat="1" applyFont="1" applyFill="1" applyBorder="1" applyAlignment="1">
      <alignment horizontal="right" vertical="top"/>
    </xf>
    <xf numFmtId="4" fontId="16" fillId="4" borderId="87" xfId="0" applyNumberFormat="1" applyFont="1" applyFill="1" applyBorder="1" applyAlignment="1">
      <alignment horizontal="right" vertical="top"/>
    </xf>
    <xf numFmtId="4" fontId="16" fillId="5" borderId="66" xfId="0" applyNumberFormat="1" applyFont="1" applyFill="1" applyBorder="1" applyAlignment="1">
      <alignment horizontal="right" vertical="center"/>
    </xf>
    <xf numFmtId="10" fontId="16" fillId="4" borderId="55" xfId="0" applyNumberFormat="1" applyFont="1" applyFill="1" applyBorder="1" applyAlignment="1">
      <alignment horizontal="right" vertical="top"/>
    </xf>
    <xf numFmtId="10" fontId="16" fillId="6" borderId="73" xfId="0" applyNumberFormat="1" applyFont="1" applyFill="1" applyBorder="1" applyAlignment="1">
      <alignment horizontal="right" vertical="top"/>
    </xf>
    <xf numFmtId="10" fontId="16" fillId="6" borderId="55" xfId="0" applyNumberFormat="1" applyFont="1" applyFill="1" applyBorder="1" applyAlignment="1">
      <alignment horizontal="right" vertical="top"/>
    </xf>
    <xf numFmtId="4" fontId="16" fillId="5" borderId="4" xfId="0" applyNumberFormat="1" applyFont="1" applyFill="1" applyBorder="1" applyAlignment="1">
      <alignment horizontal="right" vertical="top"/>
    </xf>
    <xf numFmtId="4" fontId="16" fillId="4" borderId="54" xfId="0" applyNumberFormat="1" applyFont="1" applyFill="1" applyBorder="1" applyAlignment="1">
      <alignment horizontal="right" vertical="top"/>
    </xf>
    <xf numFmtId="0" fontId="15" fillId="2" borderId="3" xfId="0" applyFont="1" applyFill="1" applyBorder="1" applyAlignment="1">
      <alignment horizontal="left" vertical="center" wrapText="1"/>
    </xf>
    <xf numFmtId="0" fontId="15" fillId="6" borderId="72" xfId="0" applyFont="1" applyFill="1" applyBorder="1" applyAlignment="1">
      <alignment horizontal="left" vertical="center" wrapText="1"/>
    </xf>
    <xf numFmtId="0" fontId="2" fillId="0" borderId="72" xfId="0" applyFont="1" applyFill="1" applyBorder="1" applyAlignment="1">
      <alignment horizontal="left" vertical="top" wrapText="1"/>
    </xf>
    <xf numFmtId="0" fontId="25" fillId="4" borderId="66" xfId="0" applyFont="1" applyFill="1" applyBorder="1" applyAlignment="1">
      <alignment vertical="top" wrapText="1"/>
    </xf>
    <xf numFmtId="0" fontId="24" fillId="0" borderId="45" xfId="0" applyFont="1" applyBorder="1" applyAlignment="1">
      <alignment vertical="top" wrapText="1"/>
    </xf>
    <xf numFmtId="0" fontId="43" fillId="0" borderId="72" xfId="0" applyFont="1" applyBorder="1" applyAlignment="1">
      <alignment horizontal="center" vertical="top" wrapText="1"/>
    </xf>
    <xf numFmtId="0" fontId="43" fillId="0" borderId="72" xfId="0" applyFont="1" applyBorder="1" applyAlignment="1">
      <alignment horizontal="center" wrapText="1"/>
    </xf>
    <xf numFmtId="49" fontId="48" fillId="6" borderId="72" xfId="0" applyNumberFormat="1" applyFont="1" applyFill="1" applyBorder="1" applyAlignment="1">
      <alignment horizontal="center" vertical="top"/>
    </xf>
    <xf numFmtId="0" fontId="40" fillId="6" borderId="72" xfId="0" applyFont="1" applyFill="1" applyBorder="1" applyAlignment="1">
      <alignment vertical="top" wrapText="1"/>
    </xf>
    <xf numFmtId="49" fontId="52" fillId="6" borderId="72" xfId="0" applyNumberFormat="1" applyFont="1" applyFill="1" applyBorder="1" applyAlignment="1">
      <alignment horizontal="center" vertical="top"/>
    </xf>
    <xf numFmtId="0" fontId="46" fillId="6" borderId="72" xfId="0" applyFont="1" applyFill="1" applyBorder="1" applyAlignment="1">
      <alignment vertical="top" wrapText="1"/>
    </xf>
    <xf numFmtId="49" fontId="48" fillId="0" borderId="72" xfId="0" applyNumberFormat="1" applyFont="1" applyBorder="1" applyAlignment="1">
      <alignment horizontal="center" vertical="top"/>
    </xf>
    <xf numFmtId="0" fontId="40" fillId="0" borderId="72" xfId="0" applyFont="1" applyBorder="1" applyAlignment="1">
      <alignment vertical="top" wrapText="1"/>
    </xf>
    <xf numFmtId="0" fontId="40" fillId="0" borderId="0" xfId="0" applyFont="1" applyFill="1"/>
    <xf numFmtId="0" fontId="48" fillId="16" borderId="72" xfId="0" applyFont="1" applyFill="1" applyBorder="1" applyAlignment="1">
      <alignment horizontal="center" vertical="top"/>
    </xf>
    <xf numFmtId="0" fontId="43" fillId="16" borderId="72" xfId="0" applyFont="1" applyFill="1" applyBorder="1" applyAlignment="1">
      <alignment vertical="top"/>
    </xf>
    <xf numFmtId="4" fontId="43" fillId="16" borderId="72" xfId="0" applyNumberFormat="1" applyFont="1" applyFill="1" applyBorder="1" applyAlignment="1">
      <alignment vertical="top" wrapText="1"/>
    </xf>
    <xf numFmtId="0" fontId="40" fillId="0" borderId="0" xfId="0" applyFont="1" applyFill="1" applyAlignment="1">
      <alignment vertical="top"/>
    </xf>
    <xf numFmtId="0" fontId="40" fillId="6" borderId="72" xfId="0" applyFont="1" applyFill="1" applyBorder="1"/>
    <xf numFmtId="49" fontId="52" fillId="0" borderId="51" xfId="0" applyNumberFormat="1" applyFont="1" applyFill="1" applyBorder="1" applyAlignment="1">
      <alignment horizontal="center"/>
    </xf>
    <xf numFmtId="4" fontId="46" fillId="0" borderId="72" xfId="0" applyNumberFormat="1" applyFont="1" applyFill="1" applyBorder="1" applyAlignment="1">
      <alignment vertical="top" wrapText="1"/>
    </xf>
    <xf numFmtId="0" fontId="46" fillId="0" borderId="72" xfId="0" applyFont="1" applyFill="1" applyBorder="1" applyAlignment="1">
      <alignment vertical="top" wrapText="1"/>
    </xf>
    <xf numFmtId="0" fontId="46" fillId="0" borderId="0" xfId="0" applyFont="1" applyFill="1"/>
    <xf numFmtId="49" fontId="48" fillId="18" borderId="72" xfId="0" applyNumberFormat="1" applyFont="1" applyFill="1" applyBorder="1" applyAlignment="1">
      <alignment horizontal="center" vertical="top"/>
    </xf>
    <xf numFmtId="0" fontId="50" fillId="18" borderId="72" xfId="0" applyFont="1" applyFill="1" applyBorder="1" applyAlignment="1">
      <alignment horizontal="left" vertical="top" wrapText="1"/>
    </xf>
    <xf numFmtId="0" fontId="43" fillId="18" borderId="72" xfId="0" applyFont="1" applyFill="1" applyBorder="1" applyAlignment="1">
      <alignment wrapText="1"/>
    </xf>
    <xf numFmtId="0" fontId="40" fillId="0" borderId="72" xfId="0" applyFont="1" applyFill="1" applyBorder="1" applyAlignment="1">
      <alignment vertical="top"/>
    </xf>
    <xf numFmtId="0" fontId="40" fillId="10" borderId="55" xfId="0" applyFont="1" applyFill="1" applyBorder="1" applyAlignment="1">
      <alignment vertical="top"/>
    </xf>
    <xf numFmtId="0" fontId="43" fillId="0" borderId="55" xfId="0" applyFont="1" applyBorder="1" applyAlignment="1">
      <alignment horizontal="center" wrapText="1"/>
    </xf>
    <xf numFmtId="49" fontId="40" fillId="0" borderId="40" xfId="0" applyNumberFormat="1" applyFont="1" applyBorder="1" applyAlignment="1">
      <alignment horizontal="right" wrapText="1"/>
    </xf>
    <xf numFmtId="49" fontId="40" fillId="6" borderId="40" xfId="0" applyNumberFormat="1" applyFont="1" applyFill="1" applyBorder="1" applyAlignment="1">
      <alignment horizontal="right" wrapText="1"/>
    </xf>
    <xf numFmtId="49" fontId="40" fillId="6" borderId="40" xfId="0" applyNumberFormat="1" applyFont="1" applyFill="1" applyBorder="1" applyAlignment="1">
      <alignment horizontal="right" vertical="top" wrapText="1"/>
    </xf>
    <xf numFmtId="49" fontId="40" fillId="0" borderId="55" xfId="0" applyNumberFormat="1" applyFont="1" applyBorder="1" applyAlignment="1">
      <alignment horizontal="right" wrapText="1"/>
    </xf>
    <xf numFmtId="49" fontId="40" fillId="6" borderId="55" xfId="0" applyNumberFormat="1" applyFont="1" applyFill="1" applyBorder="1" applyAlignment="1">
      <alignment horizontal="right" vertical="top" wrapText="1"/>
    </xf>
    <xf numFmtId="49" fontId="40" fillId="6" borderId="55" xfId="0" applyNumberFormat="1" applyFont="1" applyFill="1" applyBorder="1" applyAlignment="1">
      <alignment horizontal="right" wrapText="1"/>
    </xf>
    <xf numFmtId="49" fontId="40" fillId="10" borderId="55" xfId="0" applyNumberFormat="1" applyFont="1" applyFill="1" applyBorder="1" applyAlignment="1">
      <alignment horizontal="right" wrapText="1"/>
    </xf>
    <xf numFmtId="49" fontId="40" fillId="0" borderId="55" xfId="0" applyNumberFormat="1" applyFont="1" applyFill="1" applyBorder="1" applyAlignment="1">
      <alignment horizontal="right" wrapText="1"/>
    </xf>
    <xf numFmtId="49" fontId="46" fillId="6" borderId="55" xfId="0" applyNumberFormat="1" applyFont="1" applyFill="1" applyBorder="1" applyAlignment="1">
      <alignment horizontal="right" vertical="top" wrapText="1"/>
    </xf>
    <xf numFmtId="49" fontId="46" fillId="6" borderId="55" xfId="0" applyNumberFormat="1" applyFont="1" applyFill="1" applyBorder="1" applyAlignment="1">
      <alignment horizontal="right" wrapText="1"/>
    </xf>
    <xf numFmtId="0" fontId="40" fillId="0" borderId="55" xfId="0" applyFont="1" applyFill="1" applyBorder="1"/>
    <xf numFmtId="164" fontId="48" fillId="6" borderId="51" xfId="0" applyNumberFormat="1" applyFont="1" applyFill="1" applyBorder="1" applyAlignment="1">
      <alignment horizontal="center" vertical="top"/>
    </xf>
    <xf numFmtId="164" fontId="48" fillId="0" borderId="51" xfId="0" applyNumberFormat="1" applyFont="1" applyFill="1" applyBorder="1" applyAlignment="1">
      <alignment horizontal="center"/>
    </xf>
    <xf numFmtId="164" fontId="48" fillId="0" borderId="51" xfId="0" applyNumberFormat="1" applyFont="1" applyFill="1" applyBorder="1" applyAlignment="1">
      <alignment horizontal="center" vertical="top"/>
    </xf>
    <xf numFmtId="0" fontId="40" fillId="6" borderId="55" xfId="0" applyFont="1" applyFill="1" applyBorder="1"/>
    <xf numFmtId="0" fontId="46" fillId="0" borderId="55" xfId="0" applyFont="1" applyBorder="1" applyAlignment="1">
      <alignment vertical="top"/>
    </xf>
    <xf numFmtId="0" fontId="40" fillId="10" borderId="55" xfId="0" applyFont="1" applyFill="1" applyBorder="1"/>
    <xf numFmtId="0" fontId="40" fillId="0" borderId="55" xfId="0" applyFont="1" applyFill="1" applyBorder="1" applyAlignment="1">
      <alignment vertical="top"/>
    </xf>
    <xf numFmtId="0" fontId="40" fillId="0" borderId="55" xfId="0" applyFont="1" applyBorder="1" applyAlignment="1">
      <alignment vertical="top"/>
    </xf>
    <xf numFmtId="0" fontId="51" fillId="6" borderId="55" xfId="0" applyFont="1" applyFill="1" applyBorder="1" applyAlignment="1">
      <alignment horizontal="center" wrapText="1"/>
    </xf>
    <xf numFmtId="0" fontId="40" fillId="6" borderId="55" xfId="0" applyFont="1" applyFill="1" applyBorder="1" applyAlignment="1">
      <alignment vertical="center"/>
    </xf>
    <xf numFmtId="164" fontId="52" fillId="15" borderId="51" xfId="0" applyNumberFormat="1" applyFont="1" applyFill="1" applyBorder="1" applyAlignment="1">
      <alignment horizontal="center"/>
    </xf>
    <xf numFmtId="164" fontId="48" fillId="0" borderId="51" xfId="0" applyNumberFormat="1" applyFont="1" applyBorder="1" applyAlignment="1">
      <alignment horizontal="center" vertical="top"/>
    </xf>
    <xf numFmtId="0" fontId="40" fillId="0" borderId="55" xfId="0" applyFont="1" applyBorder="1" applyAlignment="1">
      <alignment horizontal="left" vertical="top"/>
    </xf>
    <xf numFmtId="0" fontId="2" fillId="0" borderId="55" xfId="0" applyFont="1" applyBorder="1" applyAlignment="1">
      <alignment vertical="center"/>
    </xf>
    <xf numFmtId="0" fontId="46" fillId="6" borderId="55" xfId="0" applyFont="1" applyFill="1" applyBorder="1"/>
    <xf numFmtId="0" fontId="46" fillId="0" borderId="55" xfId="0" applyFont="1" applyFill="1" applyBorder="1"/>
    <xf numFmtId="0" fontId="41" fillId="6" borderId="55" xfId="0" applyFont="1" applyFill="1" applyBorder="1"/>
    <xf numFmtId="0" fontId="43" fillId="2" borderId="72" xfId="0" applyFont="1" applyFill="1" applyBorder="1" applyAlignment="1">
      <alignment horizontal="center" vertical="top" wrapText="1"/>
    </xf>
    <xf numFmtId="0" fontId="40" fillId="0" borderId="72" xfId="0" applyFont="1" applyBorder="1" applyAlignment="1">
      <alignment vertical="top"/>
    </xf>
    <xf numFmtId="4" fontId="43" fillId="0" borderId="72" xfId="0" applyNumberFormat="1" applyFont="1" applyFill="1" applyBorder="1" applyAlignment="1">
      <alignment horizontal="center" wrapText="1"/>
    </xf>
    <xf numFmtId="4" fontId="43" fillId="0" borderId="72" xfId="0" applyNumberFormat="1" applyFont="1" applyBorder="1" applyAlignment="1">
      <alignment wrapText="1"/>
    </xf>
    <xf numFmtId="4" fontId="43" fillId="0" borderId="72" xfId="0" applyNumberFormat="1" applyFont="1" applyBorder="1" applyAlignment="1">
      <alignment horizontal="center" wrapText="1"/>
    </xf>
    <xf numFmtId="49" fontId="40" fillId="2" borderId="72" xfId="0" applyNumberFormat="1" applyFont="1" applyFill="1" applyBorder="1" applyAlignment="1">
      <alignment horizontal="center" vertical="top" wrapText="1"/>
    </xf>
    <xf numFmtId="0" fontId="40" fillId="2" borderId="72" xfId="0" applyFont="1" applyFill="1" applyBorder="1" applyAlignment="1">
      <alignment vertical="top" wrapText="1"/>
    </xf>
    <xf numFmtId="4" fontId="43" fillId="2" borderId="72" xfId="0" applyNumberFormat="1" applyFont="1" applyFill="1" applyBorder="1"/>
    <xf numFmtId="0" fontId="40" fillId="2" borderId="72" xfId="0" applyFont="1" applyFill="1" applyBorder="1" applyAlignment="1">
      <alignment wrapText="1"/>
    </xf>
    <xf numFmtId="4" fontId="40" fillId="2" borderId="72" xfId="0" applyNumberFormat="1" applyFont="1" applyFill="1" applyBorder="1"/>
    <xf numFmtId="49" fontId="40" fillId="6" borderId="72" xfId="0" applyNumberFormat="1" applyFont="1" applyFill="1" applyBorder="1" applyAlignment="1">
      <alignment vertical="top" wrapText="1"/>
    </xf>
    <xf numFmtId="0" fontId="40" fillId="6" borderId="72" xfId="0" applyFont="1" applyFill="1" applyBorder="1" applyAlignment="1">
      <alignment wrapText="1"/>
    </xf>
    <xf numFmtId="4" fontId="40" fillId="2" borderId="72" xfId="0" applyNumberFormat="1" applyFont="1" applyFill="1" applyBorder="1" applyAlignment="1">
      <alignment wrapText="1"/>
    </xf>
    <xf numFmtId="49" fontId="46" fillId="6" borderId="72" xfId="0" applyNumberFormat="1" applyFont="1" applyFill="1" applyBorder="1" applyAlignment="1">
      <alignment horizontal="center" vertical="top" wrapText="1"/>
    </xf>
    <xf numFmtId="4" fontId="40" fillId="6" borderId="72" xfId="0" applyNumberFormat="1" applyFont="1" applyFill="1" applyBorder="1" applyAlignment="1">
      <alignment vertical="top"/>
    </xf>
    <xf numFmtId="49" fontId="40" fillId="6" borderId="72" xfId="0" applyNumberFormat="1" applyFont="1" applyFill="1" applyBorder="1" applyAlignment="1">
      <alignment horizontal="center" vertical="top" wrapText="1"/>
    </xf>
    <xf numFmtId="0" fontId="47" fillId="14" borderId="72" xfId="0" applyFont="1" applyFill="1" applyBorder="1" applyAlignment="1">
      <alignment horizontal="left" vertical="top" wrapText="1"/>
    </xf>
    <xf numFmtId="4" fontId="40" fillId="13" borderId="72" xfId="0" applyNumberFormat="1" applyFont="1" applyFill="1" applyBorder="1" applyAlignment="1">
      <alignment vertical="top" wrapText="1"/>
    </xf>
    <xf numFmtId="0" fontId="49" fillId="6" borderId="72" xfId="0" applyFont="1" applyFill="1" applyBorder="1" applyAlignment="1">
      <alignment vertical="top" wrapText="1"/>
    </xf>
    <xf numFmtId="49" fontId="40" fillId="0" borderId="72" xfId="0" applyNumberFormat="1" applyFont="1" applyBorder="1" applyAlignment="1">
      <alignment horizontal="center" vertical="top" wrapText="1"/>
    </xf>
    <xf numFmtId="4" fontId="40" fillId="0" borderId="72" xfId="0" applyNumberFormat="1" applyFont="1" applyBorder="1"/>
    <xf numFmtId="165" fontId="3" fillId="5" borderId="72" xfId="0" applyNumberFormat="1" applyFont="1" applyFill="1" applyBorder="1" applyAlignment="1">
      <alignment horizontal="center" vertical="center"/>
    </xf>
    <xf numFmtId="0" fontId="3" fillId="5" borderId="72" xfId="0" applyFont="1" applyFill="1" applyBorder="1" applyAlignment="1">
      <alignment vertical="center" wrapText="1"/>
    </xf>
    <xf numFmtId="0" fontId="3" fillId="5" borderId="72" xfId="0" applyFont="1" applyFill="1" applyBorder="1" applyAlignment="1">
      <alignment horizontal="center" vertical="center"/>
    </xf>
    <xf numFmtId="4" fontId="3" fillId="8" borderId="72" xfId="0" applyNumberFormat="1" applyFont="1" applyFill="1" applyBorder="1" applyAlignment="1">
      <alignment horizontal="right" vertical="center"/>
    </xf>
    <xf numFmtId="4" fontId="3" fillId="5" borderId="72" xfId="0" applyNumberFormat="1" applyFont="1" applyFill="1" applyBorder="1" applyAlignment="1">
      <alignment horizontal="right" vertical="center"/>
    </xf>
    <xf numFmtId="49" fontId="48" fillId="2" borderId="72" xfId="0" applyNumberFormat="1" applyFont="1" applyFill="1" applyBorder="1" applyAlignment="1">
      <alignment horizontal="center" vertical="top"/>
    </xf>
    <xf numFmtId="0" fontId="50" fillId="2" borderId="72" xfId="0" applyFont="1" applyFill="1" applyBorder="1" applyAlignment="1">
      <alignment vertical="top" wrapText="1"/>
    </xf>
    <xf numFmtId="0" fontId="47" fillId="0" borderId="72" xfId="0" applyFont="1" applyBorder="1" applyAlignment="1">
      <alignment vertical="top" wrapText="1"/>
    </xf>
    <xf numFmtId="0" fontId="51" fillId="2" borderId="72" xfId="0" applyFont="1" applyFill="1" applyBorder="1" applyAlignment="1">
      <alignment vertical="top" wrapText="1"/>
    </xf>
    <xf numFmtId="49" fontId="48" fillId="10" borderId="72" xfId="0" applyNumberFormat="1" applyFont="1" applyFill="1" applyBorder="1" applyAlignment="1">
      <alignment horizontal="center" vertical="top"/>
    </xf>
    <xf numFmtId="0" fontId="51" fillId="10" borderId="72" xfId="0" applyFont="1" applyFill="1" applyBorder="1" applyAlignment="1">
      <alignment vertical="top" wrapText="1"/>
    </xf>
    <xf numFmtId="4" fontId="43" fillId="10" borderId="72" xfId="0" applyNumberFormat="1" applyFont="1" applyFill="1" applyBorder="1"/>
    <xf numFmtId="0" fontId="40" fillId="10" borderId="72" xfId="0" applyFont="1" applyFill="1" applyBorder="1" applyAlignment="1">
      <alignment wrapText="1"/>
    </xf>
    <xf numFmtId="4" fontId="40" fillId="10" borderId="72" xfId="0" applyNumberFormat="1" applyFont="1" applyFill="1" applyBorder="1" applyAlignment="1">
      <alignment wrapText="1"/>
    </xf>
    <xf numFmtId="4" fontId="40" fillId="0" borderId="72" xfId="0" applyNumberFormat="1" applyFont="1" applyBorder="1" applyAlignment="1">
      <alignment vertical="top" wrapText="1"/>
    </xf>
    <xf numFmtId="4" fontId="43" fillId="2" borderId="72" xfId="0" applyNumberFormat="1" applyFont="1" applyFill="1" applyBorder="1" applyAlignment="1">
      <alignment vertical="top" wrapText="1"/>
    </xf>
    <xf numFmtId="0" fontId="40" fillId="0" borderId="72" xfId="0" applyFont="1" applyFill="1" applyBorder="1" applyAlignment="1">
      <alignment vertical="top" wrapText="1"/>
    </xf>
    <xf numFmtId="4" fontId="40" fillId="0" borderId="72" xfId="0" applyNumberFormat="1" applyFont="1" applyFill="1" applyBorder="1" applyAlignment="1">
      <alignment vertical="top" wrapText="1"/>
    </xf>
    <xf numFmtId="0" fontId="40" fillId="0" borderId="72" xfId="0" applyFont="1" applyBorder="1" applyAlignment="1">
      <alignment horizontal="left" vertical="top" wrapText="1"/>
    </xf>
    <xf numFmtId="0" fontId="46" fillId="0" borderId="72" xfId="0" applyFont="1" applyBorder="1" applyAlignment="1">
      <alignment wrapText="1"/>
    </xf>
    <xf numFmtId="0" fontId="42" fillId="0" borderId="72" xfId="0" applyFont="1" applyBorder="1" applyAlignment="1">
      <alignment wrapText="1"/>
    </xf>
    <xf numFmtId="0" fontId="40" fillId="6" borderId="72" xfId="0" applyFont="1" applyFill="1" applyBorder="1" applyAlignment="1">
      <alignment horizontal="left" vertical="top" wrapText="1"/>
    </xf>
    <xf numFmtId="0" fontId="46" fillId="6" borderId="72" xfId="0" applyFont="1" applyFill="1" applyBorder="1" applyAlignment="1">
      <alignment horizontal="left" vertical="top" wrapText="1"/>
    </xf>
    <xf numFmtId="165" fontId="47" fillId="6" borderId="72" xfId="0" applyNumberFormat="1" applyFont="1" applyFill="1" applyBorder="1" applyAlignment="1">
      <alignment vertical="top" wrapText="1"/>
    </xf>
    <xf numFmtId="165" fontId="46" fillId="6" borderId="72" xfId="0" applyNumberFormat="1" applyFont="1" applyFill="1" applyBorder="1" applyAlignment="1">
      <alignment vertical="top" wrapText="1"/>
    </xf>
    <xf numFmtId="165" fontId="47" fillId="0" borderId="72" xfId="0" applyNumberFormat="1" applyFont="1" applyBorder="1" applyAlignment="1">
      <alignment vertical="top" wrapText="1"/>
    </xf>
    <xf numFmtId="0" fontId="51" fillId="2" borderId="72" xfId="0" applyFont="1" applyFill="1" applyBorder="1" applyAlignment="1">
      <alignment horizontal="left" vertical="top" wrapText="1"/>
    </xf>
    <xf numFmtId="49" fontId="48" fillId="0" borderId="72" xfId="0" applyNumberFormat="1" applyFont="1" applyFill="1" applyBorder="1" applyAlignment="1">
      <alignment horizontal="center" vertical="top"/>
    </xf>
    <xf numFmtId="4" fontId="40" fillId="0" borderId="72" xfId="0" applyNumberFormat="1" applyFont="1" applyFill="1" applyBorder="1" applyAlignment="1">
      <alignment vertical="top"/>
    </xf>
    <xf numFmtId="4" fontId="40" fillId="0" borderId="72" xfId="0" applyNumberFormat="1" applyFont="1" applyFill="1" applyBorder="1"/>
    <xf numFmtId="4" fontId="40" fillId="0" borderId="72" xfId="0" applyNumberFormat="1" applyFont="1" applyFill="1" applyBorder="1" applyAlignment="1">
      <alignment wrapText="1"/>
    </xf>
    <xf numFmtId="0" fontId="40" fillId="0" borderId="72" xfId="0" applyFont="1" applyFill="1" applyBorder="1" applyAlignment="1">
      <alignment wrapText="1"/>
    </xf>
    <xf numFmtId="0" fontId="48" fillId="2" borderId="72" xfId="0" applyFont="1" applyFill="1" applyBorder="1" applyAlignment="1">
      <alignment vertical="top"/>
    </xf>
    <xf numFmtId="164" fontId="52" fillId="6" borderId="72" xfId="0" applyNumberFormat="1" applyFont="1" applyFill="1" applyBorder="1" applyAlignment="1">
      <alignment horizontal="center" vertical="top"/>
    </xf>
    <xf numFmtId="164" fontId="48" fillId="0" borderId="72" xfId="0" applyNumberFormat="1" applyFont="1" applyBorder="1" applyAlignment="1">
      <alignment horizontal="center" vertical="top"/>
    </xf>
    <xf numFmtId="0" fontId="48" fillId="0" borderId="72" xfId="0" applyFont="1" applyBorder="1" applyAlignment="1">
      <alignment horizontal="center" vertical="top"/>
    </xf>
    <xf numFmtId="0" fontId="43" fillId="2" borderId="72" xfId="0" applyFont="1" applyFill="1" applyBorder="1" applyAlignment="1">
      <alignment vertical="top" wrapText="1"/>
    </xf>
    <xf numFmtId="4" fontId="40" fillId="2" borderId="72" xfId="0" applyNumberFormat="1" applyFont="1" applyFill="1" applyBorder="1" applyAlignment="1">
      <alignment vertical="top" wrapText="1"/>
    </xf>
    <xf numFmtId="14" fontId="48" fillId="13" borderId="72" xfId="0" applyNumberFormat="1" applyFont="1" applyFill="1" applyBorder="1" applyAlignment="1">
      <alignment horizontal="center" vertical="top"/>
    </xf>
    <xf numFmtId="0" fontId="40" fillId="13" borderId="72" xfId="0" applyFont="1" applyFill="1" applyBorder="1" applyAlignment="1">
      <alignment vertical="top" wrapText="1"/>
    </xf>
    <xf numFmtId="4" fontId="40" fillId="13" borderId="72" xfId="0" applyNumberFormat="1" applyFont="1" applyFill="1" applyBorder="1" applyAlignment="1">
      <alignment wrapText="1"/>
    </xf>
    <xf numFmtId="164" fontId="52" fillId="0" borderId="72" xfId="0" applyNumberFormat="1" applyFont="1" applyBorder="1" applyAlignment="1">
      <alignment horizontal="center" vertical="top"/>
    </xf>
    <xf numFmtId="0" fontId="46" fillId="0" borderId="72" xfId="0" applyFont="1" applyBorder="1" applyAlignment="1">
      <alignment vertical="top" wrapText="1"/>
    </xf>
    <xf numFmtId="4" fontId="46" fillId="0" borderId="72" xfId="0" applyNumberFormat="1" applyFont="1" applyBorder="1" applyAlignment="1">
      <alignment vertical="top" wrapText="1"/>
    </xf>
    <xf numFmtId="0" fontId="51" fillId="18" borderId="72" xfId="0" applyFont="1" applyFill="1" applyBorder="1" applyAlignment="1">
      <alignment horizontal="left" vertical="top" wrapText="1"/>
    </xf>
    <xf numFmtId="0" fontId="43" fillId="18" borderId="72" xfId="0" applyFont="1" applyFill="1" applyBorder="1" applyAlignment="1">
      <alignment vertical="top" wrapText="1"/>
    </xf>
    <xf numFmtId="4" fontId="40" fillId="18" borderId="72" xfId="0" applyNumberFormat="1" applyFont="1" applyFill="1" applyBorder="1" applyAlignment="1">
      <alignment wrapText="1"/>
    </xf>
    <xf numFmtId="2" fontId="40" fillId="18" borderId="72" xfId="0" applyNumberFormat="1" applyFont="1" applyFill="1" applyBorder="1" applyAlignment="1">
      <alignment wrapText="1"/>
    </xf>
    <xf numFmtId="4" fontId="40" fillId="7" borderId="72" xfId="0" applyNumberFormat="1" applyFont="1" applyFill="1" applyBorder="1" applyAlignment="1">
      <alignment vertical="top" wrapText="1"/>
    </xf>
    <xf numFmtId="2" fontId="40" fillId="7" borderId="72" xfId="0" applyNumberFormat="1" applyFont="1" applyFill="1" applyBorder="1" applyAlignment="1">
      <alignment vertical="top"/>
    </xf>
    <xf numFmtId="2" fontId="40" fillId="6" borderId="72" xfId="0" applyNumberFormat="1" applyFont="1" applyFill="1" applyBorder="1" applyAlignment="1">
      <alignment vertical="top" wrapText="1"/>
    </xf>
    <xf numFmtId="2" fontId="40" fillId="0" borderId="72" xfId="0" applyNumberFormat="1" applyFont="1" applyFill="1" applyBorder="1" applyAlignment="1">
      <alignment vertical="top" wrapText="1"/>
    </xf>
    <xf numFmtId="0" fontId="51" fillId="10" borderId="72" xfId="0" applyFont="1" applyFill="1" applyBorder="1" applyAlignment="1">
      <alignment horizontal="left" vertical="top" wrapText="1"/>
    </xf>
    <xf numFmtId="4" fontId="47" fillId="14" borderId="72" xfId="0" applyNumberFormat="1" applyFont="1" applyFill="1" applyBorder="1" applyAlignment="1">
      <alignment horizontal="left" vertical="top" wrapText="1"/>
    </xf>
    <xf numFmtId="49" fontId="43" fillId="6" borderId="72" xfId="0" applyNumberFormat="1" applyFont="1" applyFill="1" applyBorder="1" applyAlignment="1">
      <alignment horizontal="center" vertical="top"/>
    </xf>
    <xf numFmtId="0" fontId="43" fillId="10" borderId="72" xfId="0" applyFont="1" applyFill="1" applyBorder="1" applyAlignment="1">
      <alignment horizontal="right" vertical="top" wrapText="1"/>
    </xf>
    <xf numFmtId="0" fontId="40" fillId="10" borderId="72" xfId="0" applyFont="1" applyFill="1" applyBorder="1" applyAlignment="1">
      <alignment vertical="top"/>
    </xf>
    <xf numFmtId="4" fontId="43" fillId="6" borderId="72" xfId="0" applyNumberFormat="1" applyFont="1" applyFill="1" applyBorder="1"/>
    <xf numFmtId="4" fontId="51" fillId="10" borderId="72" xfId="0" applyNumberFormat="1" applyFont="1" applyFill="1" applyBorder="1" applyAlignment="1">
      <alignment horizontal="center" wrapText="1"/>
    </xf>
    <xf numFmtId="0" fontId="41" fillId="10" borderId="72" xfId="0" applyFont="1" applyFill="1" applyBorder="1"/>
    <xf numFmtId="0" fontId="41" fillId="10" borderId="72" xfId="0" applyFont="1" applyFill="1" applyBorder="1" applyAlignment="1">
      <alignment wrapText="1"/>
    </xf>
    <xf numFmtId="0" fontId="43" fillId="10" borderId="72" xfId="0" applyFont="1" applyFill="1" applyBorder="1" applyAlignment="1">
      <alignment horizontal="center" wrapText="1"/>
    </xf>
    <xf numFmtId="4" fontId="43" fillId="10" borderId="72" xfId="0" applyNumberFormat="1" applyFont="1" applyFill="1" applyBorder="1" applyAlignment="1">
      <alignment horizontal="center" wrapText="1"/>
    </xf>
    <xf numFmtId="0" fontId="43" fillId="6" borderId="72" xfId="0" applyFont="1" applyFill="1" applyBorder="1" applyAlignment="1">
      <alignment horizontal="center" wrapText="1"/>
    </xf>
    <xf numFmtId="4" fontId="43" fillId="6" borderId="72" xfId="0" applyNumberFormat="1" applyFont="1" applyFill="1" applyBorder="1" applyAlignment="1">
      <alignment horizontal="center" wrapText="1"/>
    </xf>
    <xf numFmtId="4" fontId="43" fillId="13" borderId="72" xfId="0" applyNumberFormat="1" applyFont="1" applyFill="1" applyBorder="1"/>
    <xf numFmtId="0" fontId="40" fillId="13" borderId="72" xfId="0" applyFont="1" applyFill="1" applyBorder="1" applyAlignment="1">
      <alignment wrapText="1"/>
    </xf>
    <xf numFmtId="4" fontId="40" fillId="13" borderId="72" xfId="0" applyNumberFormat="1" applyFont="1" applyFill="1" applyBorder="1"/>
    <xf numFmtId="4" fontId="46" fillId="6" borderId="72" xfId="0" applyNumberFormat="1" applyFont="1" applyFill="1" applyBorder="1" applyAlignment="1">
      <alignment vertical="top"/>
    </xf>
    <xf numFmtId="4" fontId="43" fillId="2" borderId="72" xfId="0" applyNumberFormat="1" applyFont="1" applyFill="1" applyBorder="1" applyAlignment="1">
      <alignment wrapText="1"/>
    </xf>
    <xf numFmtId="4" fontId="40" fillId="6" borderId="72" xfId="0" applyNumberFormat="1" applyFont="1" applyFill="1" applyBorder="1"/>
    <xf numFmtId="4" fontId="40" fillId="10" borderId="72" xfId="0" applyNumberFormat="1" applyFont="1" applyFill="1" applyBorder="1"/>
    <xf numFmtId="4" fontId="46" fillId="6" borderId="72" xfId="0" applyNumberFormat="1" applyFont="1" applyFill="1" applyBorder="1" applyAlignment="1">
      <alignment wrapText="1"/>
    </xf>
    <xf numFmtId="164" fontId="48" fillId="6" borderId="72" xfId="0" applyNumberFormat="1" applyFont="1" applyFill="1" applyBorder="1" applyAlignment="1">
      <alignment horizontal="center" vertical="center"/>
    </xf>
    <xf numFmtId="164" fontId="52" fillId="15" borderId="72" xfId="0" applyNumberFormat="1" applyFont="1" applyFill="1" applyBorder="1" applyAlignment="1">
      <alignment horizontal="center" vertical="top"/>
    </xf>
    <xf numFmtId="0" fontId="46" fillId="15" borderId="72" xfId="0" applyFont="1" applyFill="1" applyBorder="1" applyAlignment="1">
      <alignment vertical="top" wrapText="1"/>
    </xf>
    <xf numFmtId="0" fontId="43" fillId="0" borderId="72" xfId="0" applyFont="1" applyBorder="1" applyAlignment="1">
      <alignment vertical="top" wrapText="1"/>
    </xf>
    <xf numFmtId="0" fontId="40" fillId="7" borderId="72" xfId="0" applyFont="1" applyFill="1" applyBorder="1" applyAlignment="1">
      <alignment wrapText="1"/>
    </xf>
    <xf numFmtId="49" fontId="48" fillId="0" borderId="72" xfId="0" applyNumberFormat="1" applyFont="1" applyBorder="1" applyAlignment="1">
      <alignment horizontal="left" vertical="top"/>
    </xf>
    <xf numFmtId="4" fontId="43" fillId="18" borderId="72" xfId="0" applyNumberFormat="1" applyFont="1" applyFill="1" applyBorder="1" applyAlignment="1">
      <alignment wrapText="1"/>
    </xf>
    <xf numFmtId="0" fontId="40" fillId="18" borderId="72" xfId="0" applyFont="1" applyFill="1" applyBorder="1" applyAlignment="1">
      <alignment wrapText="1"/>
    </xf>
    <xf numFmtId="0" fontId="53" fillId="0" borderId="0" xfId="0" applyFont="1" applyAlignment="1"/>
    <xf numFmtId="0" fontId="40" fillId="6" borderId="72" xfId="0" applyFont="1" applyFill="1" applyBorder="1" applyAlignment="1">
      <alignment vertical="top" wrapText="1"/>
    </xf>
    <xf numFmtId="4" fontId="40" fillId="6" borderId="72" xfId="0" applyNumberFormat="1" applyFont="1" applyFill="1" applyBorder="1" applyAlignment="1">
      <alignment vertical="top" wrapText="1"/>
    </xf>
    <xf numFmtId="0" fontId="40" fillId="6" borderId="72" xfId="0" applyFont="1" applyFill="1" applyBorder="1" applyAlignment="1">
      <alignment wrapText="1"/>
    </xf>
    <xf numFmtId="4" fontId="54" fillId="0" borderId="0" xfId="0" applyNumberFormat="1" applyFont="1" applyAlignment="1">
      <alignment horizontal="right"/>
    </xf>
    <xf numFmtId="4" fontId="7" fillId="0" borderId="0" xfId="0" applyNumberFormat="1" applyFont="1" applyAlignment="1">
      <alignment horizontal="right"/>
    </xf>
    <xf numFmtId="0" fontId="3" fillId="0" borderId="0" xfId="0" applyFont="1" applyAlignment="1">
      <alignment horizontal="right" vertical="center"/>
    </xf>
    <xf numFmtId="0" fontId="8" fillId="0" borderId="0" xfId="0" applyFont="1" applyAlignment="1">
      <alignment horizontal="center"/>
    </xf>
    <xf numFmtId="0" fontId="0" fillId="0" borderId="0" xfId="0" applyFont="1" applyAlignment="1"/>
    <xf numFmtId="0" fontId="10" fillId="0" borderId="2" xfId="0" applyFont="1" applyBorder="1" applyAlignment="1">
      <alignment horizontal="center" vertical="center" wrapText="1"/>
    </xf>
    <xf numFmtId="0" fontId="11" fillId="0" borderId="3" xfId="0" applyFont="1" applyBorder="1"/>
    <xf numFmtId="0" fontId="11" fillId="0" borderId="8" xfId="0" applyFont="1" applyBorder="1"/>
    <xf numFmtId="0" fontId="11" fillId="0" borderId="9" xfId="0" applyFont="1" applyBorder="1"/>
    <xf numFmtId="0" fontId="2"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11" fillId="0" borderId="7" xfId="0" applyFont="1" applyBorder="1"/>
    <xf numFmtId="0" fontId="11" fillId="0" borderId="13" xfId="0" applyFont="1" applyBorder="1"/>
    <xf numFmtId="0" fontId="10" fillId="0" borderId="4" xfId="0" applyFont="1" applyBorder="1" applyAlignment="1">
      <alignment horizontal="center" vertical="center" wrapText="1"/>
    </xf>
    <xf numFmtId="0" fontId="11" fillId="0" borderId="5" xfId="0" applyFont="1" applyBorder="1"/>
    <xf numFmtId="0" fontId="11" fillId="0" borderId="6" xfId="0" applyFont="1" applyBorder="1"/>
    <xf numFmtId="10" fontId="12" fillId="0" borderId="12" xfId="0" applyNumberFormat="1" applyFont="1" applyBorder="1" applyAlignment="1">
      <alignment horizontal="center" vertical="center"/>
    </xf>
    <xf numFmtId="0" fontId="12" fillId="0" borderId="32" xfId="0" applyFont="1" applyBorder="1" applyAlignment="1">
      <alignment horizontal="center"/>
    </xf>
    <xf numFmtId="0" fontId="11" fillId="0" borderId="32" xfId="0" applyFont="1" applyBorder="1"/>
    <xf numFmtId="4" fontId="17" fillId="8" borderId="4" xfId="0" applyNumberFormat="1" applyFont="1" applyFill="1" applyBorder="1" applyAlignment="1">
      <alignment horizontal="center" vertical="center" wrapText="1"/>
    </xf>
    <xf numFmtId="0" fontId="20" fillId="0" borderId="56" xfId="0" applyFont="1" applyBorder="1" applyAlignment="1">
      <alignment horizontal="center" vertical="center" wrapText="1"/>
    </xf>
    <xf numFmtId="0" fontId="20" fillId="0" borderId="6" xfId="0" applyFont="1" applyBorder="1" applyAlignment="1">
      <alignment horizontal="center" vertical="center" wrapText="1"/>
    </xf>
    <xf numFmtId="0" fontId="14" fillId="0" borderId="0" xfId="0" applyFont="1" applyAlignment="1">
      <alignment horizontal="left"/>
    </xf>
    <xf numFmtId="0" fontId="0" fillId="0" borderId="0" xfId="0"/>
    <xf numFmtId="0" fontId="17" fillId="8" borderId="2" xfId="0" applyFont="1" applyFill="1" applyBorder="1" applyAlignment="1">
      <alignment horizontal="center" vertical="center" wrapText="1"/>
    </xf>
    <xf numFmtId="0" fontId="20" fillId="0" borderId="65" xfId="0" applyFont="1" applyBorder="1"/>
    <xf numFmtId="0" fontId="17" fillId="8" borderId="58" xfId="0" applyFont="1" applyFill="1" applyBorder="1" applyAlignment="1">
      <alignment horizontal="center" vertical="center" wrapText="1"/>
    </xf>
    <xf numFmtId="0" fontId="20" fillId="0" borderId="7" xfId="0" applyFont="1" applyBorder="1"/>
    <xf numFmtId="0" fontId="17" fillId="8" borderId="3" xfId="0" applyFont="1" applyFill="1" applyBorder="1" applyAlignment="1">
      <alignment horizontal="center" vertical="center"/>
    </xf>
    <xf numFmtId="0" fontId="20" fillId="0" borderId="64" xfId="0" applyFont="1" applyBorder="1"/>
    <xf numFmtId="166" fontId="17" fillId="8" borderId="4" xfId="0" applyNumberFormat="1" applyFont="1" applyFill="1" applyBorder="1" applyAlignment="1">
      <alignment horizontal="center" vertical="center" wrapText="1"/>
    </xf>
    <xf numFmtId="166" fontId="17" fillId="8" borderId="58" xfId="0" applyNumberFormat="1" applyFont="1" applyFill="1" applyBorder="1" applyAlignment="1">
      <alignment horizontal="left" vertical="center" wrapText="1"/>
    </xf>
    <xf numFmtId="0" fontId="20" fillId="0" borderId="7" xfId="0" applyFont="1" applyBorder="1" applyAlignment="1">
      <alignment horizontal="left" vertical="center" wrapText="1"/>
    </xf>
    <xf numFmtId="0" fontId="20" fillId="0" borderId="53" xfId="0" applyFont="1" applyBorder="1" applyAlignment="1">
      <alignment horizontal="left" vertical="center" wrapText="1"/>
    </xf>
    <xf numFmtId="166" fontId="17" fillId="8" borderId="58" xfId="0" applyNumberFormat="1" applyFont="1" applyFill="1" applyBorder="1" applyAlignment="1">
      <alignment horizontal="center" vertical="center" wrapText="1"/>
    </xf>
    <xf numFmtId="0" fontId="20" fillId="0" borderId="53" xfId="0" applyFont="1" applyBorder="1" applyAlignment="1">
      <alignment horizontal="center" vertical="center" wrapText="1"/>
    </xf>
    <xf numFmtId="4" fontId="3" fillId="0" borderId="45" xfId="0" applyNumberFormat="1" applyFont="1" applyBorder="1" applyAlignment="1">
      <alignment horizontal="right"/>
    </xf>
    <xf numFmtId="0" fontId="0" fillId="0" borderId="45" xfId="0" applyFont="1" applyBorder="1" applyAlignment="1"/>
    <xf numFmtId="165" fontId="23" fillId="3" borderId="4" xfId="0" applyNumberFormat="1" applyFont="1" applyFill="1" applyBorder="1" applyAlignment="1">
      <alignment horizontal="left" vertical="center"/>
    </xf>
    <xf numFmtId="0" fontId="20" fillId="0" borderId="56" xfId="0" applyFont="1" applyBorder="1"/>
    <xf numFmtId="4" fontId="24" fillId="0" borderId="52" xfId="0" applyNumberFormat="1" applyFont="1" applyBorder="1" applyAlignment="1">
      <alignment horizontal="right" vertical="center"/>
    </xf>
    <xf numFmtId="0" fontId="20" fillId="0" borderId="49" xfId="0" applyFont="1" applyBorder="1"/>
    <xf numFmtId="0" fontId="20" fillId="0" borderId="79" xfId="0" applyFont="1" applyBorder="1"/>
    <xf numFmtId="0" fontId="20" fillId="0" borderId="8" xfId="0" applyFont="1" applyBorder="1"/>
    <xf numFmtId="0" fontId="20" fillId="0" borderId="48" xfId="0" applyFont="1" applyBorder="1"/>
    <xf numFmtId="0" fontId="20" fillId="0" borderId="9" xfId="0" applyFont="1" applyBorder="1"/>
    <xf numFmtId="165" fontId="25" fillId="5" borderId="4" xfId="0" applyNumberFormat="1" applyFont="1" applyFill="1" applyBorder="1" applyAlignment="1">
      <alignment horizontal="left" vertical="center" wrapText="1"/>
    </xf>
    <xf numFmtId="0" fontId="20" fillId="0" borderId="6" xfId="0" applyFont="1" applyBorder="1"/>
    <xf numFmtId="165" fontId="25" fillId="5" borderId="2" xfId="0" applyNumberFormat="1" applyFont="1" applyFill="1" applyBorder="1" applyAlignment="1">
      <alignment horizontal="left" vertical="center" wrapText="1"/>
    </xf>
    <xf numFmtId="0" fontId="20" fillId="0" borderId="66" xfId="0" applyFont="1" applyBorder="1"/>
    <xf numFmtId="0" fontId="20" fillId="0" borderId="3" xfId="0" applyFont="1" applyBorder="1"/>
    <xf numFmtId="165" fontId="15" fillId="0" borderId="0" xfId="0" applyNumberFormat="1" applyFont="1" applyAlignment="1">
      <alignment horizontal="center" vertical="center"/>
    </xf>
    <xf numFmtId="0" fontId="51" fillId="16" borderId="72" xfId="0" applyFont="1" applyFill="1" applyBorder="1" applyAlignment="1">
      <alignment horizontal="center" vertical="top" wrapText="1"/>
    </xf>
    <xf numFmtId="0" fontId="2" fillId="10" borderId="72" xfId="0" applyFont="1" applyFill="1" applyBorder="1"/>
    <xf numFmtId="0" fontId="40" fillId="6" borderId="72" xfId="0" applyFont="1" applyFill="1" applyBorder="1" applyAlignment="1">
      <alignment vertical="top" wrapText="1"/>
    </xf>
    <xf numFmtId="0" fontId="48" fillId="13" borderId="72" xfId="0" applyFont="1" applyFill="1" applyBorder="1" applyAlignment="1">
      <alignment vertical="top"/>
    </xf>
    <xf numFmtId="0" fontId="2" fillId="6" borderId="72" xfId="0" applyFont="1" applyFill="1" applyBorder="1" applyAlignment="1">
      <alignment vertical="top"/>
    </xf>
    <xf numFmtId="4" fontId="40" fillId="6" borderId="72" xfId="0" applyNumberFormat="1" applyFont="1" applyFill="1" applyBorder="1" applyAlignment="1">
      <alignment vertical="top" wrapText="1"/>
    </xf>
    <xf numFmtId="0" fontId="40" fillId="6" borderId="72" xfId="0" applyFont="1" applyFill="1" applyBorder="1" applyAlignment="1">
      <alignment horizontal="left" vertical="top" wrapText="1"/>
    </xf>
    <xf numFmtId="0" fontId="40" fillId="0" borderId="72" xfId="0" applyFont="1" applyBorder="1" applyAlignment="1">
      <alignment vertical="top" wrapText="1"/>
    </xf>
    <xf numFmtId="0" fontId="2" fillId="0" borderId="72" xfId="0" applyFont="1" applyBorder="1" applyAlignment="1">
      <alignment vertical="top" wrapText="1"/>
    </xf>
    <xf numFmtId="49" fontId="48" fillId="6" borderId="72" xfId="0" applyNumberFormat="1" applyFont="1" applyFill="1" applyBorder="1" applyAlignment="1">
      <alignment horizontal="center" vertical="top" wrapText="1"/>
    </xf>
    <xf numFmtId="0" fontId="40" fillId="6" borderId="72" xfId="0" applyFont="1" applyFill="1" applyBorder="1" applyAlignment="1">
      <alignment horizontal="center" vertical="top" wrapText="1"/>
    </xf>
    <xf numFmtId="49" fontId="48" fillId="0" borderId="72" xfId="0" applyNumberFormat="1" applyFont="1" applyBorder="1" applyAlignment="1">
      <alignment horizontal="center" vertical="top"/>
    </xf>
    <xf numFmtId="0" fontId="40" fillId="0" borderId="72" xfId="0" applyFont="1" applyBorder="1" applyAlignment="1">
      <alignment horizontal="center" vertical="top"/>
    </xf>
    <xf numFmtId="4" fontId="40" fillId="6" borderId="72" xfId="0" applyNumberFormat="1" applyFont="1" applyFill="1" applyBorder="1" applyAlignment="1">
      <alignment vertical="top"/>
    </xf>
    <xf numFmtId="0" fontId="40" fillId="6" borderId="72" xfId="0" applyFont="1" applyFill="1" applyBorder="1" applyAlignment="1">
      <alignment vertical="top"/>
    </xf>
    <xf numFmtId="49" fontId="48" fillId="6" borderId="72" xfId="0" applyNumberFormat="1" applyFont="1" applyFill="1" applyBorder="1" applyAlignment="1">
      <alignment horizontal="center" vertical="top"/>
    </xf>
    <xf numFmtId="0" fontId="40" fillId="6" borderId="72" xfId="0" applyFont="1" applyFill="1" applyBorder="1" applyAlignment="1">
      <alignment horizontal="center" vertical="top"/>
    </xf>
    <xf numFmtId="0" fontId="43" fillId="0" borderId="0" xfId="0" applyFont="1" applyAlignment="1">
      <alignment horizontal="center" wrapText="1"/>
    </xf>
    <xf numFmtId="0" fontId="40" fillId="0" borderId="0" xfId="0" applyFont="1"/>
    <xf numFmtId="49" fontId="40" fillId="6" borderId="72" xfId="0" applyNumberFormat="1" applyFont="1" applyFill="1" applyBorder="1" applyAlignment="1">
      <alignment horizontal="center" vertical="top" wrapText="1"/>
    </xf>
    <xf numFmtId="4" fontId="40" fillId="6" borderId="72" xfId="0" applyNumberFormat="1" applyFont="1" applyFill="1" applyBorder="1" applyAlignment="1">
      <alignment wrapText="1"/>
    </xf>
    <xf numFmtId="0" fontId="40" fillId="6" borderId="72" xfId="0" applyFont="1" applyFill="1" applyBorder="1" applyAlignment="1">
      <alignment wrapText="1"/>
    </xf>
    <xf numFmtId="4" fontId="40" fillId="6" borderId="72" xfId="0" applyNumberFormat="1" applyFont="1" applyFill="1" applyBorder="1" applyAlignment="1">
      <alignment wrapText="1" shrinkToFit="1"/>
    </xf>
    <xf numFmtId="0" fontId="40" fillId="6" borderId="72" xfId="0" applyFont="1" applyFill="1" applyBorder="1" applyAlignment="1">
      <alignment wrapText="1" shrinkToFit="1"/>
    </xf>
    <xf numFmtId="165" fontId="47" fillId="6" borderId="72" xfId="0" applyNumberFormat="1" applyFont="1" applyFill="1" applyBorder="1" applyAlignment="1">
      <alignment vertical="top" wrapText="1"/>
    </xf>
    <xf numFmtId="164" fontId="48" fillId="6" borderId="72" xfId="0" applyNumberFormat="1" applyFont="1" applyFill="1" applyBorder="1" applyAlignment="1">
      <alignment horizontal="center" vertical="top"/>
    </xf>
    <xf numFmtId="49" fontId="48" fillId="0" borderId="72" xfId="0" applyNumberFormat="1" applyFont="1" applyBorder="1" applyAlignment="1">
      <alignment horizontal="center" vertical="top" wrapText="1"/>
    </xf>
    <xf numFmtId="0" fontId="40" fillId="0" borderId="72" xfId="0" applyFont="1" applyBorder="1" applyAlignment="1">
      <alignment horizontal="center" vertical="top" wrapText="1"/>
    </xf>
    <xf numFmtId="0" fontId="40" fillId="0" borderId="72" xfId="0" applyFont="1" applyBorder="1" applyAlignment="1">
      <alignment wrapText="1"/>
    </xf>
    <xf numFmtId="164" fontId="48" fillId="0" borderId="72" xfId="0" applyNumberFormat="1" applyFont="1" applyBorder="1" applyAlignment="1">
      <alignment horizontal="center" vertical="top"/>
    </xf>
    <xf numFmtId="0" fontId="2" fillId="0" borderId="72" xfId="0" applyFont="1" applyBorder="1" applyAlignment="1">
      <alignment horizontal="center"/>
    </xf>
    <xf numFmtId="0" fontId="0" fillId="0" borderId="72" xfId="0" applyBorder="1" applyAlignment="1">
      <alignment horizontal="center" vertical="top"/>
    </xf>
    <xf numFmtId="0" fontId="0" fillId="0" borderId="72" xfId="0" applyBorder="1" applyAlignment="1">
      <alignment vertical="top" wrapText="1"/>
    </xf>
    <xf numFmtId="0" fontId="0" fillId="0" borderId="72" xfId="0" applyBorder="1" applyAlignment="1">
      <alignment wrapText="1"/>
    </xf>
    <xf numFmtId="49" fontId="52" fillId="6" borderId="72" xfId="0" applyNumberFormat="1" applyFont="1" applyFill="1" applyBorder="1" applyAlignment="1">
      <alignment horizontal="center" vertical="top"/>
    </xf>
    <xf numFmtId="0" fontId="46" fillId="6" borderId="72" xfId="0" applyFont="1" applyFill="1" applyBorder="1" applyAlignment="1">
      <alignment vertical="top" wrapText="1"/>
    </xf>
    <xf numFmtId="49" fontId="48" fillId="11" borderId="72" xfId="0" applyNumberFormat="1" applyFont="1" applyFill="1" applyBorder="1" applyAlignment="1">
      <alignment horizontal="center" vertical="top"/>
    </xf>
    <xf numFmtId="0" fontId="40" fillId="11" borderId="72" xfId="0" applyFont="1" applyFill="1" applyBorder="1" applyAlignment="1">
      <alignment vertical="top" wrapText="1"/>
    </xf>
    <xf numFmtId="0" fontId="0" fillId="0" borderId="72" xfId="0" applyBorder="1" applyAlignment="1">
      <alignment vertical="top"/>
    </xf>
    <xf numFmtId="49" fontId="4" fillId="6" borderId="72" xfId="0" applyNumberFormat="1" applyFont="1" applyFill="1" applyBorder="1" applyAlignment="1">
      <alignment horizontal="center" vertical="top"/>
    </xf>
    <xf numFmtId="0" fontId="27" fillId="6" borderId="72" xfId="0" applyFont="1" applyFill="1" applyBorder="1" applyAlignment="1">
      <alignment wrapText="1"/>
    </xf>
    <xf numFmtId="0" fontId="0" fillId="0" borderId="72" xfId="0" applyBorder="1"/>
    <xf numFmtId="4" fontId="8" fillId="0" borderId="90" xfId="0" applyNumberFormat="1" applyFont="1" applyBorder="1" applyAlignment="1">
      <alignment horizontal="center" vertical="center"/>
    </xf>
    <xf numFmtId="4" fontId="8" fillId="0" borderId="91" xfId="0" applyNumberFormat="1" applyFont="1" applyBorder="1" applyAlignment="1">
      <alignment horizontal="center" vertical="center"/>
    </xf>
    <xf numFmtId="0" fontId="2" fillId="0" borderId="0" xfId="0" applyFont="1" applyAlignment="1">
      <alignment horizontal="left" vertical="top"/>
    </xf>
    <xf numFmtId="0" fontId="0" fillId="0" borderId="0" xfId="0" applyAlignment="1"/>
    <xf numFmtId="0" fontId="15" fillId="0" borderId="0" xfId="0" applyFont="1" applyAlignment="1"/>
    <xf numFmtId="0" fontId="0" fillId="0" borderId="0" xfId="0" applyAlignment="1"/>
    <xf numFmtId="0" fontId="3" fillId="0" borderId="0" xfId="0" applyFont="1" applyAlignment="1"/>
    <xf numFmtId="0" fontId="2" fillId="0" borderId="0" xfId="0" applyFont="1" applyAlignment="1"/>
  </cellXfs>
  <cellStyles count="2">
    <cellStyle name="Гарний" xfId="1" builtinId="26"/>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bat\&#1044;&#1086;&#1076;&#1072;&#1090;&#1086;&#1082;%204_&#1090;&#1072;_&#1056;&#1077;&#1108;&#1089;&#1090;&#1088;%20&#1076;&#1086;&#1082;&#1091;&#1084;&#1077;&#1085;&#1090;&#1110;&#1074;_2021%20&#1060;&#1048;&#1053;&#1040;&#1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інансування"/>
      <sheetName val="Кошторис  витрат"/>
      <sheetName val="Реєстр документів"/>
    </sheetNames>
    <sheetDataSet>
      <sheetData sheetId="0" refreshError="1">
        <row r="12">
          <cell r="A12" t="str">
            <v>Назва Грантоотримувача:</v>
          </cell>
        </row>
        <row r="27">
          <cell r="C27">
            <v>2443886</v>
          </cell>
          <cell r="L27">
            <v>0</v>
          </cell>
        </row>
        <row r="28">
          <cell r="C28">
            <v>2358943.6972000003</v>
          </cell>
          <cell r="L28">
            <v>0</v>
          </cell>
        </row>
      </sheetData>
      <sheetData sheetId="1" refreshError="1">
        <row r="233">
          <cell r="G233">
            <v>2443886</v>
          </cell>
          <cell r="J233">
            <v>2358943.6972000003</v>
          </cell>
          <cell r="S233">
            <v>0</v>
          </cell>
          <cell r="V233">
            <v>0</v>
          </cell>
        </row>
      </sheetData>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view="pageBreakPreview" topLeftCell="A4" zoomScale="80" zoomScaleNormal="100" zoomScaleSheetLayoutView="80" workbookViewId="0">
      <selection activeCell="C30" sqref="C30"/>
    </sheetView>
  </sheetViews>
  <sheetFormatPr defaultColWidth="12.625" defaultRowHeight="15" customHeight="1"/>
  <cols>
    <col min="1" max="1" width="16.625" customWidth="1"/>
    <col min="2" max="2" width="9.625" customWidth="1"/>
    <col min="3" max="8" width="15.625" customWidth="1"/>
    <col min="9" max="9" width="9.625" customWidth="1"/>
    <col min="10" max="10" width="15.625" customWidth="1"/>
    <col min="11" max="11" width="9.625" customWidth="1"/>
    <col min="12" max="12" width="15.625" customWidth="1"/>
    <col min="13" max="13" width="9.625" customWidth="1"/>
    <col min="14" max="14" width="15.625" customWidth="1"/>
    <col min="15" max="23" width="3.75" customWidth="1"/>
    <col min="24" max="26" width="7.375" customWidth="1"/>
    <col min="27" max="31" width="8.375" customWidth="1"/>
  </cols>
  <sheetData>
    <row r="1" spans="1:31" ht="15" customHeight="1">
      <c r="A1" s="765" t="s">
        <v>0</v>
      </c>
      <c r="B1" s="760"/>
      <c r="C1" s="1"/>
      <c r="D1" s="2"/>
      <c r="E1" s="1"/>
      <c r="F1" s="1"/>
      <c r="G1" s="1"/>
      <c r="H1" s="854" t="s">
        <v>1103</v>
      </c>
      <c r="I1" s="1"/>
      <c r="J1" s="1"/>
      <c r="K1" s="1"/>
      <c r="L1" s="1"/>
      <c r="M1" s="1"/>
      <c r="N1" s="1"/>
      <c r="O1" s="1"/>
      <c r="P1" s="1"/>
      <c r="Q1" s="1"/>
      <c r="R1" s="1"/>
      <c r="S1" s="1"/>
      <c r="T1" s="1"/>
      <c r="U1" s="1"/>
      <c r="V1" s="1"/>
      <c r="W1" s="1"/>
      <c r="X1" s="1"/>
      <c r="Y1" s="1"/>
      <c r="Z1" s="1"/>
    </row>
    <row r="2" spans="1:31" ht="16.5" customHeight="1">
      <c r="A2" s="3"/>
      <c r="B2" s="1"/>
      <c r="C2" s="1"/>
      <c r="D2" s="2"/>
      <c r="E2" s="1"/>
      <c r="F2" s="1"/>
      <c r="G2" s="1"/>
      <c r="H2" s="765" t="s">
        <v>1053</v>
      </c>
      <c r="I2" s="760"/>
      <c r="J2" s="760"/>
      <c r="K2" s="760"/>
      <c r="L2" s="760"/>
      <c r="M2" s="1"/>
      <c r="N2" s="1"/>
      <c r="O2" s="1"/>
      <c r="P2" s="1"/>
      <c r="Q2" s="1"/>
      <c r="R2" s="1"/>
      <c r="S2" s="1"/>
      <c r="T2" s="1"/>
      <c r="U2" s="1"/>
      <c r="V2" s="1"/>
      <c r="W2" s="1"/>
      <c r="X2" s="1"/>
      <c r="Y2" s="1"/>
      <c r="Z2" s="1"/>
    </row>
    <row r="3" spans="1:31" ht="15" customHeight="1">
      <c r="A3" s="3"/>
      <c r="B3" s="1"/>
      <c r="C3" s="1"/>
      <c r="D3" s="2"/>
      <c r="E3" s="1"/>
      <c r="F3" s="1"/>
      <c r="G3" s="1"/>
      <c r="H3" s="765" t="s">
        <v>1054</v>
      </c>
      <c r="I3" s="760"/>
      <c r="J3" s="760"/>
      <c r="K3" s="1"/>
      <c r="L3" s="1"/>
      <c r="M3" s="1"/>
      <c r="N3" s="1"/>
      <c r="O3" s="1"/>
      <c r="P3" s="1"/>
      <c r="Q3" s="1"/>
      <c r="R3" s="1"/>
      <c r="S3" s="1"/>
      <c r="T3" s="1"/>
      <c r="U3" s="1"/>
      <c r="V3" s="1"/>
      <c r="W3" s="1"/>
      <c r="X3" s="1"/>
      <c r="Y3" s="1"/>
      <c r="Z3" s="1"/>
    </row>
    <row r="4" spans="1:31" ht="15" customHeight="1">
      <c r="A4" s="3"/>
      <c r="B4" s="1"/>
      <c r="C4" s="1"/>
      <c r="D4" s="1"/>
      <c r="E4" s="1"/>
      <c r="F4" s="1"/>
      <c r="G4" s="1"/>
      <c r="H4" s="1"/>
      <c r="I4" s="1"/>
      <c r="J4" s="1"/>
      <c r="K4" s="1"/>
      <c r="L4" s="1"/>
      <c r="M4" s="1"/>
      <c r="N4" s="1"/>
      <c r="O4" s="1"/>
      <c r="P4" s="1"/>
      <c r="Q4" s="1"/>
      <c r="R4" s="1"/>
      <c r="S4" s="1"/>
      <c r="T4" s="1"/>
      <c r="U4" s="1"/>
      <c r="V4" s="1"/>
      <c r="W4" s="1"/>
      <c r="X4" s="1"/>
      <c r="Y4" s="1"/>
      <c r="Z4" s="1"/>
    </row>
    <row r="5" spans="1:31" ht="15" customHeight="1">
      <c r="A5" s="3"/>
      <c r="B5" s="1"/>
      <c r="C5" s="1"/>
      <c r="D5" s="1"/>
      <c r="E5" s="1"/>
      <c r="F5" s="1"/>
      <c r="G5" s="1"/>
      <c r="H5" s="1"/>
      <c r="I5" s="1"/>
      <c r="J5" s="1"/>
      <c r="K5" s="1"/>
      <c r="L5" s="1"/>
      <c r="M5" s="1"/>
      <c r="N5" s="1"/>
      <c r="O5" s="1"/>
      <c r="P5" s="1"/>
      <c r="Q5" s="1"/>
      <c r="R5" s="1"/>
      <c r="S5" s="1"/>
      <c r="T5" s="1"/>
      <c r="U5" s="1"/>
      <c r="V5" s="1"/>
      <c r="W5" s="1"/>
      <c r="X5" s="1"/>
      <c r="Y5" s="1"/>
      <c r="Z5" s="1"/>
    </row>
    <row r="6" spans="1:31" ht="15" customHeight="1">
      <c r="A6" s="3"/>
      <c r="B6" s="1"/>
      <c r="C6" s="1"/>
      <c r="D6" s="1"/>
      <c r="E6" s="1"/>
      <c r="F6" s="1"/>
      <c r="G6" s="1"/>
      <c r="H6" s="1"/>
      <c r="I6" s="1"/>
      <c r="J6" s="1"/>
      <c r="K6" s="1"/>
      <c r="L6" s="1"/>
      <c r="M6" s="1"/>
      <c r="N6" s="1"/>
      <c r="O6" s="1"/>
      <c r="P6" s="1"/>
      <c r="Q6" s="1"/>
      <c r="R6" s="1"/>
      <c r="S6" s="1"/>
      <c r="T6" s="1"/>
      <c r="U6" s="1"/>
      <c r="V6" s="1"/>
      <c r="W6" s="1"/>
      <c r="X6" s="1"/>
      <c r="Y6" s="1"/>
      <c r="Z6" s="1"/>
    </row>
    <row r="7" spans="1:31" ht="14.25">
      <c r="A7" s="3"/>
      <c r="B7" s="1"/>
      <c r="C7" s="1"/>
      <c r="D7" s="1"/>
      <c r="E7" s="1"/>
      <c r="F7" s="1"/>
      <c r="G7" s="1"/>
      <c r="H7" s="1"/>
      <c r="I7" s="1"/>
      <c r="J7" s="1"/>
      <c r="K7" s="1"/>
      <c r="L7" s="1"/>
      <c r="M7" s="1"/>
      <c r="N7" s="1"/>
      <c r="O7" s="1"/>
      <c r="P7" s="1"/>
      <c r="Q7" s="1"/>
      <c r="R7" s="1"/>
      <c r="S7" s="1"/>
      <c r="T7" s="1"/>
      <c r="U7" s="1"/>
      <c r="V7" s="1"/>
      <c r="W7" s="1"/>
      <c r="X7" s="1"/>
      <c r="Y7" s="1"/>
      <c r="Z7" s="1"/>
    </row>
    <row r="8" spans="1:31" ht="14.25">
      <c r="A8" s="3"/>
      <c r="B8" s="1"/>
      <c r="C8" s="1"/>
      <c r="D8" s="1"/>
      <c r="E8" s="1"/>
      <c r="F8" s="1"/>
      <c r="G8" s="1"/>
      <c r="H8" s="1"/>
      <c r="I8" s="1"/>
      <c r="J8" s="1"/>
      <c r="K8" s="1"/>
      <c r="L8" s="1"/>
      <c r="M8" s="1"/>
      <c r="N8" s="1"/>
      <c r="O8" s="1"/>
      <c r="P8" s="1"/>
      <c r="Q8" s="1"/>
      <c r="R8" s="1"/>
      <c r="S8" s="1"/>
      <c r="T8" s="1"/>
      <c r="U8" s="1"/>
      <c r="V8" s="1"/>
      <c r="W8" s="1"/>
      <c r="X8" s="1"/>
      <c r="Y8" s="1"/>
      <c r="Z8" s="1"/>
    </row>
    <row r="9" spans="1:31" ht="14.25">
      <c r="A9" s="3"/>
      <c r="B9" s="1"/>
      <c r="C9" s="1"/>
      <c r="D9" s="1"/>
      <c r="E9" s="1"/>
      <c r="F9" s="1"/>
      <c r="G9" s="1"/>
      <c r="H9" s="1"/>
      <c r="I9" s="1"/>
      <c r="J9" s="1"/>
      <c r="K9" s="1"/>
      <c r="L9" s="1"/>
      <c r="M9" s="1"/>
      <c r="N9" s="1"/>
      <c r="O9" s="1"/>
      <c r="P9" s="1"/>
      <c r="Q9" s="1"/>
      <c r="R9" s="1"/>
      <c r="S9" s="1"/>
      <c r="T9" s="1"/>
      <c r="U9" s="1"/>
      <c r="V9" s="1"/>
      <c r="W9" s="1"/>
      <c r="X9" s="1"/>
      <c r="Y9" s="1"/>
      <c r="Z9" s="1"/>
    </row>
    <row r="10" spans="1:31" ht="14.25" customHeight="1">
      <c r="A10" s="4" t="s">
        <v>1097</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c r="A11" s="3" t="s">
        <v>1098</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c r="A12" s="3" t="s">
        <v>1099</v>
      </c>
      <c r="B12" s="1"/>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c r="A13" s="3" t="s">
        <v>1100</v>
      </c>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c r="A14" s="3" t="s">
        <v>1101</v>
      </c>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c r="A15" s="3" t="s">
        <v>1102</v>
      </c>
      <c r="B15" s="1"/>
      <c r="C15" s="1"/>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c r="E17" s="6"/>
      <c r="F17" s="7"/>
      <c r="G17" s="7"/>
      <c r="H17" s="7"/>
      <c r="I17" s="7"/>
      <c r="J17" s="7"/>
      <c r="K17" s="7"/>
      <c r="L17" s="7"/>
      <c r="M17" s="7"/>
      <c r="N17" s="7"/>
      <c r="O17" s="7"/>
      <c r="P17" s="7"/>
      <c r="Q17" s="7"/>
      <c r="R17" s="7"/>
      <c r="S17" s="7"/>
      <c r="T17" s="7"/>
      <c r="U17" s="7"/>
      <c r="V17" s="7"/>
      <c r="W17" s="7"/>
      <c r="X17" s="7"/>
      <c r="Y17" s="7"/>
      <c r="Z17" s="7"/>
    </row>
    <row r="18" spans="1:31" ht="15.75">
      <c r="A18" s="8"/>
      <c r="B18" s="766" t="s">
        <v>1</v>
      </c>
      <c r="C18" s="760"/>
      <c r="D18" s="760"/>
      <c r="E18" s="760"/>
      <c r="F18" s="760"/>
      <c r="G18" s="760"/>
      <c r="H18" s="760"/>
      <c r="I18" s="760"/>
      <c r="J18" s="760"/>
      <c r="K18" s="760"/>
      <c r="L18" s="760"/>
      <c r="M18" s="760"/>
      <c r="N18" s="760"/>
      <c r="O18" s="9"/>
      <c r="P18" s="10"/>
      <c r="Q18" s="8"/>
      <c r="R18" s="8"/>
      <c r="S18" s="8"/>
      <c r="T18" s="8"/>
      <c r="U18" s="8"/>
      <c r="V18" s="8"/>
      <c r="W18" s="8"/>
      <c r="X18" s="8"/>
      <c r="Y18" s="8"/>
      <c r="Z18" s="8"/>
      <c r="AA18" s="8"/>
      <c r="AB18" s="8"/>
      <c r="AC18" s="8"/>
      <c r="AD18" s="8"/>
      <c r="AE18" s="8"/>
    </row>
    <row r="19" spans="1:31" ht="15.75">
      <c r="A19" s="8"/>
      <c r="B19" s="766" t="s">
        <v>2</v>
      </c>
      <c r="C19" s="760"/>
      <c r="D19" s="760"/>
      <c r="E19" s="760"/>
      <c r="F19" s="760"/>
      <c r="G19" s="760"/>
      <c r="H19" s="760"/>
      <c r="I19" s="760"/>
      <c r="J19" s="760"/>
      <c r="K19" s="760"/>
      <c r="L19" s="760"/>
      <c r="M19" s="760"/>
      <c r="N19" s="760"/>
      <c r="O19" s="9"/>
      <c r="P19" s="10"/>
      <c r="Q19" s="8"/>
      <c r="R19" s="8"/>
      <c r="S19" s="8"/>
      <c r="T19" s="8"/>
      <c r="U19" s="8"/>
      <c r="V19" s="8"/>
      <c r="W19" s="8"/>
      <c r="X19" s="8"/>
      <c r="Y19" s="8"/>
      <c r="Z19" s="8"/>
      <c r="AA19" s="8"/>
      <c r="AB19" s="8"/>
      <c r="AC19" s="8"/>
      <c r="AD19" s="8"/>
      <c r="AE19" s="8"/>
    </row>
    <row r="20" spans="1:31" ht="15.75">
      <c r="A20" s="8"/>
      <c r="B20" s="767" t="s">
        <v>1055</v>
      </c>
      <c r="C20" s="760"/>
      <c r="D20" s="760"/>
      <c r="E20" s="760"/>
      <c r="F20" s="760"/>
      <c r="G20" s="760"/>
      <c r="H20" s="760"/>
      <c r="I20" s="760"/>
      <c r="J20" s="760"/>
      <c r="K20" s="760"/>
      <c r="L20" s="760"/>
      <c r="M20" s="760"/>
      <c r="N20" s="760"/>
      <c r="O20" s="9"/>
      <c r="P20" s="10"/>
      <c r="Q20" s="8"/>
      <c r="R20" s="8"/>
      <c r="S20" s="8"/>
      <c r="T20" s="8"/>
      <c r="U20" s="8"/>
      <c r="V20" s="8"/>
      <c r="W20" s="8"/>
      <c r="X20" s="8"/>
      <c r="Y20" s="8"/>
      <c r="Z20" s="8"/>
      <c r="AA20" s="8"/>
      <c r="AB20" s="8"/>
      <c r="AC20" s="8"/>
      <c r="AD20" s="8"/>
      <c r="AE20" s="8"/>
    </row>
    <row r="21" spans="1:31" ht="15.75" customHeight="1">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c r="A23" s="768"/>
      <c r="B23" s="761" t="s">
        <v>3</v>
      </c>
      <c r="C23" s="762"/>
      <c r="D23" s="771" t="s">
        <v>4</v>
      </c>
      <c r="E23" s="772"/>
      <c r="F23" s="772"/>
      <c r="G23" s="772"/>
      <c r="H23" s="772"/>
      <c r="I23" s="772"/>
      <c r="J23" s="773"/>
      <c r="K23" s="761" t="s">
        <v>5</v>
      </c>
      <c r="L23" s="762"/>
      <c r="M23" s="761" t="s">
        <v>6</v>
      </c>
      <c r="N23" s="762"/>
      <c r="O23" s="15"/>
      <c r="P23" s="15"/>
      <c r="Q23" s="15"/>
      <c r="R23" s="15"/>
      <c r="S23" s="15"/>
      <c r="T23" s="15"/>
      <c r="U23" s="15"/>
      <c r="V23" s="15"/>
      <c r="W23" s="15"/>
      <c r="X23" s="15"/>
      <c r="Y23" s="15"/>
      <c r="Z23" s="15"/>
      <c r="AA23" s="15"/>
      <c r="AB23" s="15"/>
      <c r="AC23" s="15"/>
      <c r="AD23" s="15"/>
      <c r="AE23" s="15"/>
    </row>
    <row r="24" spans="1:31" ht="135" customHeight="1">
      <c r="A24" s="769"/>
      <c r="B24" s="763"/>
      <c r="C24" s="764"/>
      <c r="D24" s="16" t="s">
        <v>7</v>
      </c>
      <c r="E24" s="17" t="s">
        <v>8</v>
      </c>
      <c r="F24" s="17" t="s">
        <v>9</v>
      </c>
      <c r="G24" s="17" t="s">
        <v>10</v>
      </c>
      <c r="H24" s="17" t="s">
        <v>11</v>
      </c>
      <c r="I24" s="774" t="s">
        <v>12</v>
      </c>
      <c r="J24" s="764"/>
      <c r="K24" s="763"/>
      <c r="L24" s="764"/>
      <c r="M24" s="763"/>
      <c r="N24" s="764"/>
      <c r="O24" s="5"/>
      <c r="P24" s="5"/>
      <c r="Q24" s="18"/>
      <c r="R24" s="5"/>
      <c r="S24" s="5"/>
      <c r="T24" s="5"/>
      <c r="U24" s="5"/>
      <c r="V24" s="5"/>
      <c r="W24" s="5"/>
      <c r="X24" s="5"/>
      <c r="Y24" s="5"/>
      <c r="Z24" s="5"/>
      <c r="AA24" s="5"/>
      <c r="AB24" s="5"/>
      <c r="AC24" s="5"/>
      <c r="AD24" s="5"/>
      <c r="AE24" s="5"/>
    </row>
    <row r="25" spans="1:31" ht="37.5" customHeight="1">
      <c r="A25" s="770"/>
      <c r="B25" s="19" t="s">
        <v>13</v>
      </c>
      <c r="C25" s="20" t="s">
        <v>14</v>
      </c>
      <c r="D25" s="19" t="s">
        <v>14</v>
      </c>
      <c r="E25" s="21" t="s">
        <v>14</v>
      </c>
      <c r="F25" s="21" t="s">
        <v>14</v>
      </c>
      <c r="G25" s="21" t="s">
        <v>14</v>
      </c>
      <c r="H25" s="21" t="s">
        <v>14</v>
      </c>
      <c r="I25" s="21" t="s">
        <v>13</v>
      </c>
      <c r="J25" s="22" t="s">
        <v>15</v>
      </c>
      <c r="K25" s="19" t="s">
        <v>13</v>
      </c>
      <c r="L25" s="20" t="s">
        <v>14</v>
      </c>
      <c r="M25" s="23" t="s">
        <v>13</v>
      </c>
      <c r="N25" s="24" t="s">
        <v>14</v>
      </c>
      <c r="O25" s="25"/>
      <c r="P25" s="25"/>
      <c r="Q25" s="25"/>
      <c r="R25" s="25"/>
      <c r="S25" s="25"/>
      <c r="T25" s="25"/>
      <c r="U25" s="25"/>
      <c r="V25" s="25"/>
      <c r="W25" s="25"/>
      <c r="X25" s="25"/>
      <c r="Y25" s="25"/>
      <c r="Z25" s="25"/>
      <c r="AA25" s="25"/>
      <c r="AB25" s="25"/>
      <c r="AC25" s="25"/>
      <c r="AD25" s="25"/>
      <c r="AE25" s="25"/>
    </row>
    <row r="26" spans="1:31" ht="30" customHeight="1">
      <c r="A26" s="26" t="s">
        <v>16</v>
      </c>
      <c r="B26" s="27" t="s">
        <v>17</v>
      </c>
      <c r="C26" s="28" t="s">
        <v>18</v>
      </c>
      <c r="D26" s="27" t="s">
        <v>19</v>
      </c>
      <c r="E26" s="29" t="s">
        <v>20</v>
      </c>
      <c r="F26" s="29" t="s">
        <v>21</v>
      </c>
      <c r="G26" s="29" t="s">
        <v>22</v>
      </c>
      <c r="H26" s="29" t="s">
        <v>23</v>
      </c>
      <c r="I26" s="29" t="s">
        <v>24</v>
      </c>
      <c r="J26" s="28" t="s">
        <v>25</v>
      </c>
      <c r="K26" s="27" t="s">
        <v>26</v>
      </c>
      <c r="L26" s="28" t="s">
        <v>27</v>
      </c>
      <c r="M26" s="27" t="s">
        <v>28</v>
      </c>
      <c r="N26" s="28" t="s">
        <v>29</v>
      </c>
      <c r="O26" s="30"/>
      <c r="P26" s="30"/>
      <c r="Q26" s="31"/>
      <c r="R26" s="30"/>
      <c r="S26" s="30"/>
      <c r="T26" s="30"/>
      <c r="U26" s="30"/>
      <c r="V26" s="30"/>
      <c r="W26" s="30"/>
      <c r="X26" s="30"/>
      <c r="Y26" s="30"/>
      <c r="Z26" s="30"/>
      <c r="AA26" s="30"/>
      <c r="AB26" s="30"/>
      <c r="AC26" s="30"/>
      <c r="AD26" s="30"/>
      <c r="AE26" s="30"/>
    </row>
    <row r="27" spans="1:31" ht="30" customHeight="1">
      <c r="A27" s="32" t="s">
        <v>30</v>
      </c>
      <c r="B27" s="33">
        <v>1</v>
      </c>
      <c r="C27" s="34">
        <f>'кошторис витрат'!G233</f>
        <v>2443886</v>
      </c>
      <c r="D27" s="35">
        <v>0</v>
      </c>
      <c r="E27" s="36">
        <v>0</v>
      </c>
      <c r="F27" s="36">
        <v>0</v>
      </c>
      <c r="G27" s="36">
        <v>0</v>
      </c>
      <c r="H27" s="36">
        <v>344950</v>
      </c>
      <c r="I27" s="37">
        <v>1</v>
      </c>
      <c r="J27" s="34">
        <f>D27+E27+F27+G27+H27</f>
        <v>344950</v>
      </c>
      <c r="K27" s="33">
        <v>0</v>
      </c>
      <c r="L27" s="34">
        <v>0</v>
      </c>
      <c r="M27" s="38">
        <v>1</v>
      </c>
      <c r="N27" s="39">
        <f>J27+C27+L27</f>
        <v>2788836</v>
      </c>
      <c r="O27" s="25"/>
      <c r="P27" s="25"/>
      <c r="Q27" s="25"/>
      <c r="R27" s="25"/>
      <c r="S27" s="25"/>
      <c r="T27" s="25"/>
      <c r="U27" s="25"/>
      <c r="V27" s="25"/>
      <c r="W27" s="25"/>
      <c r="X27" s="25"/>
      <c r="Y27" s="25"/>
      <c r="Z27" s="25"/>
      <c r="AA27" s="25"/>
      <c r="AB27" s="25"/>
      <c r="AC27" s="25"/>
      <c r="AD27" s="25"/>
      <c r="AE27" s="25"/>
    </row>
    <row r="28" spans="1:31" ht="30" customHeight="1">
      <c r="A28" s="40" t="s">
        <v>31</v>
      </c>
      <c r="B28" s="41">
        <v>1</v>
      </c>
      <c r="C28" s="42">
        <f>'кошторис витрат'!J233</f>
        <v>2345106.6289999997</v>
      </c>
      <c r="D28" s="43">
        <v>0</v>
      </c>
      <c r="E28" s="44">
        <v>0</v>
      </c>
      <c r="F28" s="44">
        <v>0</v>
      </c>
      <c r="G28" s="44">
        <v>0</v>
      </c>
      <c r="H28" s="44">
        <v>344950</v>
      </c>
      <c r="I28" s="45">
        <v>1</v>
      </c>
      <c r="J28" s="34">
        <f>D28+E28+F28+G28+H28</f>
        <v>344950</v>
      </c>
      <c r="K28" s="41">
        <f t="shared" ref="K28:K29" si="0">L28/N28</f>
        <v>0</v>
      </c>
      <c r="L28" s="42">
        <v>0</v>
      </c>
      <c r="M28" s="536">
        <v>1</v>
      </c>
      <c r="N28" s="46">
        <f>J28+C28+L28</f>
        <v>2690056.6289999997</v>
      </c>
      <c r="O28" s="25"/>
      <c r="P28" s="25"/>
      <c r="Q28" s="25"/>
      <c r="R28" s="25"/>
      <c r="S28" s="25"/>
      <c r="T28" s="25"/>
      <c r="U28" s="25"/>
      <c r="V28" s="25"/>
      <c r="W28" s="25"/>
      <c r="X28" s="25"/>
      <c r="Y28" s="25"/>
      <c r="Z28" s="25"/>
      <c r="AA28" s="25"/>
      <c r="AB28" s="25"/>
      <c r="AC28" s="25"/>
      <c r="AD28" s="25"/>
      <c r="AE28" s="25"/>
    </row>
    <row r="29" spans="1:31" ht="30" customHeight="1" thickBot="1">
      <c r="A29" s="47" t="s">
        <v>32</v>
      </c>
      <c r="B29" s="48">
        <v>0.77900000000000003</v>
      </c>
      <c r="C29" s="49">
        <v>1832913</v>
      </c>
      <c r="D29" s="50">
        <v>0</v>
      </c>
      <c r="E29" s="51">
        <v>0</v>
      </c>
      <c r="F29" s="51">
        <v>0</v>
      </c>
      <c r="G29" s="51">
        <v>0</v>
      </c>
      <c r="H29" s="51">
        <v>344950</v>
      </c>
      <c r="I29" s="52">
        <f t="shared" ref="I29" si="1">J29/N29</f>
        <v>0.15838920997326278</v>
      </c>
      <c r="J29" s="852">
        <f>D29+E29+F29+G29+H29</f>
        <v>344950</v>
      </c>
      <c r="K29" s="48">
        <f t="shared" si="0"/>
        <v>0</v>
      </c>
      <c r="L29" s="49">
        <v>0</v>
      </c>
      <c r="M29" s="537">
        <v>0.77900000000000003</v>
      </c>
      <c r="N29" s="53">
        <f>J29+C29+L29</f>
        <v>2177863</v>
      </c>
      <c r="O29" s="25"/>
      <c r="P29" s="25"/>
      <c r="Q29" s="25"/>
      <c r="R29" s="25"/>
      <c r="S29" s="25"/>
      <c r="T29" s="25"/>
      <c r="U29" s="25"/>
      <c r="V29" s="25"/>
      <c r="W29" s="25"/>
      <c r="X29" s="25"/>
      <c r="Y29" s="25"/>
      <c r="Z29" s="25"/>
      <c r="AA29" s="25"/>
      <c r="AB29" s="25"/>
      <c r="AC29" s="25"/>
      <c r="AD29" s="25"/>
      <c r="AE29" s="25"/>
    </row>
    <row r="30" spans="1:31" ht="30" customHeight="1" thickBot="1">
      <c r="A30" s="54" t="s">
        <v>33</v>
      </c>
      <c r="B30" s="55">
        <f t="shared" ref="B30:N30" si="2">B28-B29</f>
        <v>0.22099999999999997</v>
      </c>
      <c r="C30" s="56">
        <f t="shared" si="2"/>
        <v>512193.62899999972</v>
      </c>
      <c r="D30" s="57">
        <f t="shared" si="2"/>
        <v>0</v>
      </c>
      <c r="E30" s="58">
        <f t="shared" si="2"/>
        <v>0</v>
      </c>
      <c r="F30" s="58">
        <f t="shared" si="2"/>
        <v>0</v>
      </c>
      <c r="G30" s="58">
        <f t="shared" si="2"/>
        <v>0</v>
      </c>
      <c r="H30" s="58">
        <f t="shared" si="2"/>
        <v>0</v>
      </c>
      <c r="I30" s="59">
        <f t="shared" si="2"/>
        <v>0.84161079002673722</v>
      </c>
      <c r="J30" s="853">
        <f>D30+E30+F30+G30+H30</f>
        <v>0</v>
      </c>
      <c r="K30" s="60">
        <f t="shared" si="2"/>
        <v>0</v>
      </c>
      <c r="L30" s="56">
        <f t="shared" si="2"/>
        <v>0</v>
      </c>
      <c r="M30" s="538">
        <f t="shared" si="2"/>
        <v>0.22099999999999997</v>
      </c>
      <c r="N30" s="61">
        <f t="shared" si="2"/>
        <v>512193.62899999972</v>
      </c>
      <c r="O30" s="25"/>
      <c r="P30" s="25"/>
      <c r="Q30" s="25"/>
      <c r="R30" s="25"/>
      <c r="S30" s="25"/>
      <c r="T30" s="25"/>
      <c r="U30" s="25"/>
      <c r="V30" s="25"/>
      <c r="W30" s="25"/>
      <c r="X30" s="25"/>
      <c r="Y30" s="25"/>
      <c r="Z30" s="25"/>
      <c r="AA30" s="25"/>
      <c r="AB30" s="25"/>
      <c r="AC30" s="25"/>
      <c r="AD30" s="25"/>
      <c r="AE30" s="25"/>
    </row>
    <row r="31" spans="1:31" ht="15.75" customHeight="1">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c r="A32" s="62"/>
      <c r="B32" s="62" t="s">
        <v>34</v>
      </c>
      <c r="C32" s="775" t="s">
        <v>1051</v>
      </c>
      <c r="D32" s="776"/>
      <c r="E32" s="776"/>
      <c r="F32" s="62"/>
      <c r="G32" s="63"/>
      <c r="H32" s="63"/>
      <c r="I32" s="64"/>
      <c r="J32" s="775" t="s">
        <v>1052</v>
      </c>
      <c r="K32" s="776"/>
      <c r="L32" s="776"/>
      <c r="M32" s="776"/>
      <c r="N32" s="776"/>
      <c r="O32" s="62"/>
      <c r="P32" s="62"/>
      <c r="Q32" s="62"/>
      <c r="R32" s="62"/>
      <c r="S32" s="62"/>
      <c r="T32" s="62"/>
      <c r="U32" s="62"/>
      <c r="V32" s="62"/>
      <c r="W32" s="62"/>
      <c r="X32" s="62"/>
      <c r="Y32" s="62"/>
      <c r="Z32" s="62"/>
      <c r="AA32" s="62"/>
      <c r="AB32" s="62"/>
      <c r="AC32" s="62"/>
      <c r="AD32" s="62"/>
      <c r="AE32" s="62"/>
    </row>
    <row r="33" spans="1:31" ht="15.75" customHeight="1">
      <c r="A33" s="5"/>
      <c r="B33" s="5"/>
      <c r="C33" s="5"/>
      <c r="D33" s="65" t="s">
        <v>35</v>
      </c>
      <c r="E33" s="5"/>
      <c r="F33" s="66"/>
      <c r="G33" s="759" t="s">
        <v>36</v>
      </c>
      <c r="H33" s="760"/>
      <c r="I33" s="13"/>
      <c r="J33" s="759" t="s">
        <v>37</v>
      </c>
      <c r="K33" s="760"/>
      <c r="L33" s="760"/>
      <c r="M33" s="760"/>
      <c r="N33" s="760"/>
      <c r="O33" s="5"/>
      <c r="P33" s="5"/>
      <c r="Q33" s="5"/>
      <c r="R33" s="5"/>
      <c r="S33" s="5"/>
      <c r="T33" s="5"/>
      <c r="U33" s="5"/>
      <c r="V33" s="5"/>
      <c r="W33" s="5"/>
      <c r="X33" s="5"/>
      <c r="Y33" s="5"/>
      <c r="Z33" s="5"/>
      <c r="AA33" s="5"/>
      <c r="AB33" s="5"/>
      <c r="AC33" s="5"/>
      <c r="AD33" s="5"/>
      <c r="AE33" s="5"/>
    </row>
    <row r="34" spans="1:3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G33:H33"/>
    <mergeCell ref="J33:N33"/>
    <mergeCell ref="K23:L24"/>
    <mergeCell ref="M23:N24"/>
    <mergeCell ref="A1:B1"/>
    <mergeCell ref="H3:J3"/>
    <mergeCell ref="B18:N18"/>
    <mergeCell ref="B19:N19"/>
    <mergeCell ref="B20:N20"/>
    <mergeCell ref="H2:L2"/>
    <mergeCell ref="A23:A25"/>
    <mergeCell ref="B23:C24"/>
    <mergeCell ref="D23:J23"/>
    <mergeCell ref="I24:J24"/>
    <mergeCell ref="C32:E32"/>
    <mergeCell ref="J32:N32"/>
  </mergeCells>
  <pageMargins left="1.0900000000000001" right="0.70866141732283472" top="0.74803149606299213" bottom="0.57999999999999996" header="0" footer="0"/>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G1055"/>
  <sheetViews>
    <sheetView tabSelected="1" topLeftCell="A232" zoomScale="96" zoomScaleNormal="96" workbookViewId="0">
      <selection activeCell="G19" sqref="G19"/>
    </sheetView>
  </sheetViews>
  <sheetFormatPr defaultColWidth="12.625" defaultRowHeight="15" customHeight="1" outlineLevelCol="1"/>
  <cols>
    <col min="1" max="1" width="10" style="71" customWidth="1"/>
    <col min="2" max="2" width="6.875" style="71" customWidth="1"/>
    <col min="3" max="3" width="33.5" style="71" customWidth="1"/>
    <col min="4" max="4" width="7.375" style="71" customWidth="1"/>
    <col min="5" max="5" width="11" style="71" customWidth="1"/>
    <col min="6" max="6" width="10.625" style="71" customWidth="1"/>
    <col min="7" max="7" width="12.125" style="71" customWidth="1"/>
    <col min="8" max="9" width="9.75" style="71" customWidth="1"/>
    <col min="10" max="10" width="11.5" style="71" customWidth="1"/>
    <col min="11" max="11" width="8.25" style="71" customWidth="1"/>
    <col min="12" max="12" width="9.75" style="71" customWidth="1"/>
    <col min="13" max="13" width="10.25" style="71" customWidth="1"/>
    <col min="14" max="14" width="10.625" style="71" customWidth="1"/>
    <col min="15" max="15" width="8.875" style="71" customWidth="1"/>
    <col min="16" max="16" width="10" style="71" customWidth="1" collapsed="1"/>
    <col min="17" max="17" width="7.125" style="71" hidden="1" customWidth="1" outlineLevel="1"/>
    <col min="18" max="18" width="7.625" style="71" hidden="1" customWidth="1" outlineLevel="1"/>
    <col min="19" max="19" width="10.875" style="71" hidden="1" customWidth="1" outlineLevel="1"/>
    <col min="20" max="20" width="7.5" style="71" hidden="1" customWidth="1" outlineLevel="1"/>
    <col min="21" max="21" width="6.75" style="71" hidden="1" customWidth="1" outlineLevel="1"/>
    <col min="22" max="22" width="9.375" style="71" hidden="1" customWidth="1" outlineLevel="1"/>
    <col min="23" max="23" width="12.875" style="71" customWidth="1"/>
    <col min="24" max="24" width="11.25" style="71" customWidth="1"/>
    <col min="25" max="25" width="12.125" style="71" customWidth="1"/>
    <col min="26" max="26" width="9.75" style="71" customWidth="1"/>
    <col min="27" max="27" width="25.375" style="546" customWidth="1"/>
    <col min="28" max="28" width="12.25" style="71" customWidth="1"/>
    <col min="29" max="33" width="4.5" style="71" customWidth="1"/>
    <col min="34" max="16384" width="12.625" style="71"/>
  </cols>
  <sheetData>
    <row r="1" spans="1:33" s="857" customFormat="1" ht="18" customHeight="1">
      <c r="A1" s="780" t="s">
        <v>610</v>
      </c>
      <c r="B1" s="855"/>
      <c r="C1" s="855"/>
      <c r="D1" s="855"/>
      <c r="E1" s="855"/>
      <c r="F1" s="756"/>
      <c r="G1" s="314"/>
      <c r="H1" s="756"/>
      <c r="I1" s="67"/>
      <c r="J1" s="67"/>
      <c r="K1" s="67"/>
      <c r="L1" s="67"/>
      <c r="M1" s="67"/>
      <c r="N1" s="67"/>
      <c r="O1" s="67"/>
      <c r="P1" s="67"/>
      <c r="Q1" s="67"/>
      <c r="R1" s="67"/>
      <c r="S1" s="67"/>
      <c r="T1" s="67"/>
      <c r="U1" s="67"/>
      <c r="V1" s="67"/>
      <c r="W1" s="68"/>
      <c r="X1" s="68"/>
      <c r="Y1" s="68"/>
      <c r="Z1" s="68"/>
      <c r="AA1" s="541"/>
      <c r="AB1" s="856"/>
      <c r="AC1" s="856"/>
      <c r="AD1" s="856"/>
      <c r="AE1" s="856"/>
      <c r="AF1" s="856"/>
      <c r="AG1" s="856"/>
    </row>
    <row r="2" spans="1:33" s="857" customFormat="1" ht="18" customHeight="1">
      <c r="A2" s="481" t="str">
        <f>Фінансування!A12</f>
        <v>Назва Грантоотримувача: ПП "ЕКСПО-ЮГ-СЕРВІС"</v>
      </c>
      <c r="B2" s="482"/>
      <c r="C2" s="481"/>
      <c r="D2" s="483"/>
      <c r="E2" s="484"/>
      <c r="F2" s="74"/>
      <c r="G2" s="74"/>
      <c r="H2" s="74"/>
      <c r="I2" s="757"/>
      <c r="J2" s="758"/>
      <c r="K2" s="74"/>
      <c r="L2" s="74"/>
      <c r="M2" s="74"/>
      <c r="N2" s="74"/>
      <c r="O2" s="74"/>
      <c r="P2" s="74"/>
      <c r="Q2" s="74"/>
      <c r="R2" s="74"/>
      <c r="S2" s="74"/>
      <c r="T2" s="74"/>
      <c r="U2" s="74"/>
      <c r="V2" s="74"/>
      <c r="W2" s="75"/>
      <c r="X2" s="75"/>
      <c r="Y2" s="75"/>
      <c r="Z2" s="75"/>
      <c r="AA2" s="540"/>
      <c r="AB2" s="856"/>
      <c r="AC2" s="856"/>
      <c r="AD2" s="856"/>
      <c r="AE2" s="856"/>
      <c r="AF2" s="856"/>
      <c r="AG2" s="856"/>
    </row>
    <row r="3" spans="1:33" s="857" customFormat="1" ht="18" customHeight="1">
      <c r="A3" s="858" t="str">
        <f>Фінансування!A13</f>
        <v>Назва проєкту: 4EVE11-07335 XXV Міжнародний книжковий фестиваль "Зелена хвиля"</v>
      </c>
      <c r="B3" s="482"/>
      <c r="C3" s="481"/>
      <c r="D3" s="483"/>
      <c r="E3" s="484"/>
      <c r="F3" s="74"/>
      <c r="G3" s="74"/>
      <c r="H3" s="74"/>
      <c r="I3" s="74"/>
      <c r="J3" s="74"/>
      <c r="K3" s="78"/>
      <c r="L3" s="78"/>
      <c r="M3" s="78"/>
      <c r="N3" s="78"/>
      <c r="O3" s="78"/>
      <c r="P3" s="78"/>
      <c r="Q3" s="78"/>
      <c r="R3" s="78"/>
      <c r="S3" s="78"/>
      <c r="T3" s="78"/>
      <c r="U3" s="78"/>
      <c r="V3" s="78"/>
      <c r="W3" s="79"/>
      <c r="X3" s="79"/>
      <c r="Y3" s="79"/>
      <c r="Z3" s="79"/>
      <c r="AA3" s="540"/>
      <c r="AB3" s="856"/>
      <c r="AC3" s="856"/>
      <c r="AD3" s="856"/>
      <c r="AE3" s="856"/>
      <c r="AF3" s="856"/>
      <c r="AG3" s="856"/>
    </row>
    <row r="4" spans="1:33" s="857" customFormat="1" ht="18" customHeight="1">
      <c r="A4" s="858" t="str">
        <f>Фінансування!A14</f>
        <v>Дата початку проєкту: 15 липня 2021 року</v>
      </c>
      <c r="B4" s="859"/>
      <c r="C4" s="859"/>
      <c r="D4" s="859"/>
      <c r="E4" s="859"/>
      <c r="F4" s="856"/>
      <c r="G4" s="856"/>
      <c r="H4" s="856"/>
      <c r="I4" s="856"/>
      <c r="J4" s="856"/>
      <c r="K4" s="856"/>
      <c r="L4" s="856"/>
      <c r="M4" s="856"/>
      <c r="N4" s="856"/>
      <c r="O4" s="856"/>
      <c r="P4" s="856"/>
      <c r="Q4" s="856"/>
      <c r="R4" s="856"/>
      <c r="S4" s="856"/>
      <c r="T4" s="856"/>
      <c r="U4" s="856"/>
      <c r="V4" s="856"/>
      <c r="W4" s="856"/>
      <c r="X4" s="856"/>
      <c r="Y4" s="856"/>
      <c r="Z4" s="856"/>
      <c r="AA4" s="541"/>
      <c r="AB4" s="856"/>
      <c r="AC4" s="856"/>
      <c r="AD4" s="856"/>
      <c r="AE4" s="856"/>
      <c r="AF4" s="856"/>
      <c r="AG4" s="856"/>
    </row>
    <row r="5" spans="1:33" s="857" customFormat="1" ht="18" customHeight="1">
      <c r="A5" s="858" t="str">
        <f>Фінансування!A15</f>
        <v>Дата завершення проєкту:15 листопада 2021 року</v>
      </c>
      <c r="B5" s="859"/>
      <c r="C5" s="859"/>
      <c r="D5" s="859"/>
      <c r="E5" s="859"/>
      <c r="F5" s="856"/>
      <c r="G5" s="856"/>
      <c r="H5" s="856"/>
      <c r="I5" s="856"/>
      <c r="J5" s="856"/>
      <c r="K5" s="856"/>
      <c r="L5" s="856"/>
      <c r="M5" s="856"/>
      <c r="N5" s="856"/>
      <c r="O5" s="856"/>
      <c r="P5" s="856"/>
      <c r="Q5" s="856"/>
      <c r="R5" s="856"/>
      <c r="S5" s="856"/>
      <c r="T5" s="856"/>
      <c r="U5" s="856"/>
      <c r="V5" s="856"/>
      <c r="W5" s="856"/>
      <c r="X5" s="856"/>
      <c r="Y5" s="856"/>
      <c r="Z5" s="856"/>
      <c r="AA5" s="541"/>
      <c r="AB5" s="856"/>
      <c r="AC5" s="856"/>
      <c r="AD5" s="856"/>
      <c r="AE5" s="856"/>
      <c r="AF5" s="856"/>
      <c r="AG5" s="856"/>
    </row>
    <row r="6" spans="1:33" thickBot="1">
      <c r="A6" s="77"/>
      <c r="B6" s="72"/>
      <c r="C6" s="80"/>
      <c r="D6" s="73"/>
      <c r="E6" s="81"/>
      <c r="F6" s="81"/>
      <c r="G6" s="81"/>
      <c r="H6" s="81"/>
      <c r="I6" s="81"/>
      <c r="J6" s="81"/>
      <c r="K6" s="82"/>
      <c r="L6" s="82"/>
      <c r="M6" s="82"/>
      <c r="N6" s="82"/>
      <c r="O6" s="82"/>
      <c r="P6" s="82"/>
      <c r="Q6" s="82"/>
      <c r="R6" s="82"/>
      <c r="S6" s="82"/>
      <c r="T6" s="82"/>
      <c r="U6" s="82"/>
      <c r="V6" s="82"/>
      <c r="W6" s="83"/>
      <c r="X6" s="83"/>
      <c r="Y6" s="83"/>
      <c r="Z6" s="83"/>
      <c r="AA6" s="542"/>
      <c r="AB6" s="70"/>
      <c r="AC6" s="70"/>
      <c r="AD6" s="70"/>
      <c r="AE6" s="70"/>
      <c r="AF6" s="70"/>
      <c r="AG6" s="70"/>
    </row>
    <row r="7" spans="1:33" ht="26.25" customHeight="1" thickBot="1">
      <c r="A7" s="784" t="s">
        <v>611</v>
      </c>
      <c r="B7" s="786" t="s">
        <v>38</v>
      </c>
      <c r="C7" s="782" t="s">
        <v>39</v>
      </c>
      <c r="D7" s="782" t="s">
        <v>40</v>
      </c>
      <c r="E7" s="777" t="s">
        <v>41</v>
      </c>
      <c r="F7" s="778"/>
      <c r="G7" s="778"/>
      <c r="H7" s="778"/>
      <c r="I7" s="778"/>
      <c r="J7" s="779"/>
      <c r="K7" s="777" t="s">
        <v>42</v>
      </c>
      <c r="L7" s="778"/>
      <c r="M7" s="778"/>
      <c r="N7" s="778"/>
      <c r="O7" s="778"/>
      <c r="P7" s="779"/>
      <c r="Q7" s="777" t="s">
        <v>612</v>
      </c>
      <c r="R7" s="778"/>
      <c r="S7" s="778"/>
      <c r="T7" s="778"/>
      <c r="U7" s="778"/>
      <c r="V7" s="779"/>
      <c r="W7" s="788" t="s">
        <v>613</v>
      </c>
      <c r="X7" s="778"/>
      <c r="Y7" s="778"/>
      <c r="Z7" s="779"/>
      <c r="AA7" s="789" t="s">
        <v>614</v>
      </c>
      <c r="AB7" s="70"/>
      <c r="AC7" s="70"/>
      <c r="AD7" s="70"/>
      <c r="AE7" s="70"/>
      <c r="AF7" s="70"/>
      <c r="AG7" s="70"/>
    </row>
    <row r="8" spans="1:33" ht="42" customHeight="1" thickBot="1">
      <c r="A8" s="785"/>
      <c r="B8" s="787"/>
      <c r="C8" s="783"/>
      <c r="D8" s="783"/>
      <c r="E8" s="777" t="s">
        <v>43</v>
      </c>
      <c r="F8" s="778"/>
      <c r="G8" s="779"/>
      <c r="H8" s="777" t="s">
        <v>615</v>
      </c>
      <c r="I8" s="778"/>
      <c r="J8" s="779"/>
      <c r="K8" s="777" t="s">
        <v>43</v>
      </c>
      <c r="L8" s="778"/>
      <c r="M8" s="779"/>
      <c r="N8" s="777" t="s">
        <v>615</v>
      </c>
      <c r="O8" s="778"/>
      <c r="P8" s="779"/>
      <c r="Q8" s="777" t="s">
        <v>43</v>
      </c>
      <c r="R8" s="778"/>
      <c r="S8" s="779"/>
      <c r="T8" s="777" t="s">
        <v>615</v>
      </c>
      <c r="U8" s="778"/>
      <c r="V8" s="779"/>
      <c r="W8" s="792" t="s">
        <v>616</v>
      </c>
      <c r="X8" s="792" t="s">
        <v>617</v>
      </c>
      <c r="Y8" s="788" t="s">
        <v>618</v>
      </c>
      <c r="Z8" s="779"/>
      <c r="AA8" s="790"/>
      <c r="AB8" s="70"/>
      <c r="AC8" s="70"/>
      <c r="AD8" s="70"/>
      <c r="AE8" s="70"/>
      <c r="AF8" s="70"/>
      <c r="AG8" s="70"/>
    </row>
    <row r="9" spans="1:33" ht="72.75" customHeight="1" thickBot="1">
      <c r="A9" s="785"/>
      <c r="B9" s="787"/>
      <c r="C9" s="783"/>
      <c r="D9" s="783"/>
      <c r="E9" s="84" t="s">
        <v>619</v>
      </c>
      <c r="F9" s="85" t="s">
        <v>44</v>
      </c>
      <c r="G9" s="86" t="s">
        <v>45</v>
      </c>
      <c r="H9" s="84" t="s">
        <v>619</v>
      </c>
      <c r="I9" s="85" t="s">
        <v>44</v>
      </c>
      <c r="J9" s="86" t="s">
        <v>47</v>
      </c>
      <c r="K9" s="84" t="s">
        <v>619</v>
      </c>
      <c r="L9" s="85" t="s">
        <v>46</v>
      </c>
      <c r="M9" s="86" t="s">
        <v>620</v>
      </c>
      <c r="N9" s="84" t="s">
        <v>619</v>
      </c>
      <c r="O9" s="85" t="s">
        <v>46</v>
      </c>
      <c r="P9" s="86" t="s">
        <v>621</v>
      </c>
      <c r="Q9" s="84" t="s">
        <v>619</v>
      </c>
      <c r="R9" s="85" t="s">
        <v>46</v>
      </c>
      <c r="S9" s="86" t="s">
        <v>622</v>
      </c>
      <c r="T9" s="84" t="s">
        <v>619</v>
      </c>
      <c r="U9" s="85" t="s">
        <v>46</v>
      </c>
      <c r="V9" s="86" t="s">
        <v>623</v>
      </c>
      <c r="W9" s="793"/>
      <c r="X9" s="793"/>
      <c r="Y9" s="87" t="s">
        <v>624</v>
      </c>
      <c r="Z9" s="88" t="s">
        <v>13</v>
      </c>
      <c r="AA9" s="791"/>
      <c r="AB9" s="70"/>
      <c r="AC9" s="70"/>
      <c r="AD9" s="70"/>
      <c r="AE9" s="70"/>
      <c r="AF9" s="70"/>
      <c r="AG9" s="70"/>
    </row>
    <row r="10" spans="1:33" ht="24.75" customHeight="1" thickBot="1">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543">
        <v>27</v>
      </c>
      <c r="AB10" s="70"/>
      <c r="AC10" s="70"/>
      <c r="AD10" s="70"/>
      <c r="AE10" s="70"/>
      <c r="AF10" s="70"/>
      <c r="AG10" s="70"/>
    </row>
    <row r="11" spans="1:33" ht="23.25" customHeight="1" thickBot="1">
      <c r="A11" s="92" t="s">
        <v>625</v>
      </c>
      <c r="B11" s="93"/>
      <c r="C11" s="94" t="s">
        <v>48</v>
      </c>
      <c r="D11" s="95"/>
      <c r="E11" s="96"/>
      <c r="F11" s="96"/>
      <c r="G11" s="96"/>
      <c r="H11" s="96"/>
      <c r="I11" s="96"/>
      <c r="J11" s="96"/>
      <c r="K11" s="96"/>
      <c r="L11" s="96"/>
      <c r="M11" s="96"/>
      <c r="N11" s="96"/>
      <c r="O11" s="96"/>
      <c r="P11" s="96"/>
      <c r="Q11" s="96"/>
      <c r="R11" s="96"/>
      <c r="S11" s="96"/>
      <c r="T11" s="96"/>
      <c r="U11" s="96"/>
      <c r="V11" s="96"/>
      <c r="W11" s="97"/>
      <c r="X11" s="97"/>
      <c r="Y11" s="97"/>
      <c r="Z11" s="97"/>
      <c r="AA11" s="544"/>
      <c r="AB11" s="98"/>
      <c r="AC11" s="98"/>
      <c r="AD11" s="98"/>
      <c r="AE11" s="98"/>
      <c r="AF11" s="98"/>
      <c r="AG11" s="98"/>
    </row>
    <row r="12" spans="1:33" ht="30" customHeight="1" thickBot="1">
      <c r="A12" s="99" t="s">
        <v>49</v>
      </c>
      <c r="B12" s="100">
        <v>1</v>
      </c>
      <c r="C12" s="101" t="s">
        <v>626</v>
      </c>
      <c r="D12" s="102"/>
      <c r="E12" s="103"/>
      <c r="F12" s="103"/>
      <c r="G12" s="103"/>
      <c r="H12" s="103"/>
      <c r="I12" s="103"/>
      <c r="J12" s="103"/>
      <c r="K12" s="103"/>
      <c r="L12" s="103"/>
      <c r="M12" s="103"/>
      <c r="N12" s="103"/>
      <c r="O12" s="103"/>
      <c r="P12" s="103"/>
      <c r="Q12" s="103"/>
      <c r="R12" s="103"/>
      <c r="S12" s="103"/>
      <c r="T12" s="103"/>
      <c r="U12" s="103"/>
      <c r="V12" s="103"/>
      <c r="W12" s="104"/>
      <c r="X12" s="104"/>
      <c r="Y12" s="104"/>
      <c r="Z12" s="104"/>
      <c r="AA12" s="593"/>
      <c r="AB12" s="105"/>
      <c r="AC12" s="76"/>
      <c r="AD12" s="76"/>
      <c r="AE12" s="76"/>
      <c r="AF12" s="76"/>
      <c r="AG12" s="76"/>
    </row>
    <row r="13" spans="1:33" ht="45.75" customHeight="1">
      <c r="A13" s="106" t="s">
        <v>50</v>
      </c>
      <c r="B13" s="107" t="s">
        <v>243</v>
      </c>
      <c r="C13" s="108" t="s">
        <v>244</v>
      </c>
      <c r="D13" s="109"/>
      <c r="E13" s="110">
        <f>SUM(E14:E16)</f>
        <v>4</v>
      </c>
      <c r="F13" s="111"/>
      <c r="G13" s="112">
        <f t="shared" ref="G13:H13" si="0">SUM(G14:G16)</f>
        <v>26000</v>
      </c>
      <c r="H13" s="110">
        <f t="shared" si="0"/>
        <v>4</v>
      </c>
      <c r="I13" s="111"/>
      <c r="J13" s="112">
        <f t="shared" ref="J13:K13" si="1">SUM(J14:J16)</f>
        <v>26000</v>
      </c>
      <c r="K13" s="110">
        <f t="shared" si="1"/>
        <v>0</v>
      </c>
      <c r="L13" s="111"/>
      <c r="M13" s="112">
        <f t="shared" ref="M13:N13" si="2">SUM(M14:M16)</f>
        <v>0</v>
      </c>
      <c r="N13" s="110">
        <f t="shared" si="2"/>
        <v>0</v>
      </c>
      <c r="O13" s="111"/>
      <c r="P13" s="112">
        <f t="shared" ref="P13:Q13" si="3">SUM(P14:P16)</f>
        <v>0</v>
      </c>
      <c r="Q13" s="110">
        <f t="shared" si="3"/>
        <v>0</v>
      </c>
      <c r="R13" s="111"/>
      <c r="S13" s="112">
        <f t="shared" ref="S13:T13" si="4">SUM(S14:S16)</f>
        <v>0</v>
      </c>
      <c r="T13" s="110">
        <f t="shared" si="4"/>
        <v>0</v>
      </c>
      <c r="U13" s="111"/>
      <c r="V13" s="112">
        <f t="shared" ref="V13:X13" si="5">SUM(V14:V16)</f>
        <v>0</v>
      </c>
      <c r="W13" s="112">
        <f t="shared" si="5"/>
        <v>26000</v>
      </c>
      <c r="X13" s="112">
        <f t="shared" si="5"/>
        <v>26000</v>
      </c>
      <c r="Y13" s="113">
        <f t="shared" ref="Y13:Y39" si="6">W13-X13</f>
        <v>0</v>
      </c>
      <c r="Z13" s="582">
        <f t="shared" ref="Z13:Z39" si="7">Y13/W13</f>
        <v>0</v>
      </c>
      <c r="AA13" s="548"/>
      <c r="AB13" s="114"/>
      <c r="AC13" s="114"/>
      <c r="AD13" s="114"/>
      <c r="AE13" s="114"/>
      <c r="AF13" s="114"/>
      <c r="AG13" s="114"/>
    </row>
    <row r="14" spans="1:33" s="335" customFormat="1" ht="38.25" customHeight="1">
      <c r="A14" s="361" t="s">
        <v>51</v>
      </c>
      <c r="B14" s="386" t="s">
        <v>245</v>
      </c>
      <c r="C14" s="414" t="s">
        <v>52</v>
      </c>
      <c r="D14" s="388" t="s">
        <v>53</v>
      </c>
      <c r="E14" s="377">
        <v>4</v>
      </c>
      <c r="F14" s="375">
        <v>6500</v>
      </c>
      <c r="G14" s="376">
        <f t="shared" ref="G14:G16" si="8">E14*F14</f>
        <v>26000</v>
      </c>
      <c r="H14" s="377">
        <v>4</v>
      </c>
      <c r="I14" s="375">
        <v>6500</v>
      </c>
      <c r="J14" s="376">
        <f t="shared" ref="J14:J16" si="9">H14*I14</f>
        <v>26000</v>
      </c>
      <c r="K14" s="377"/>
      <c r="L14" s="375"/>
      <c r="M14" s="376">
        <f t="shared" ref="M14:M16" si="10">K14*L14</f>
        <v>0</v>
      </c>
      <c r="N14" s="377"/>
      <c r="O14" s="375"/>
      <c r="P14" s="376">
        <f t="shared" ref="P14:P16" si="11">N14*O14</f>
        <v>0</v>
      </c>
      <c r="Q14" s="377"/>
      <c r="R14" s="375"/>
      <c r="S14" s="376">
        <f t="shared" ref="S14:S16" si="12">Q14*R14</f>
        <v>0</v>
      </c>
      <c r="T14" s="377"/>
      <c r="U14" s="375"/>
      <c r="V14" s="376">
        <f t="shared" ref="V14:V16" si="13">T14*U14</f>
        <v>0</v>
      </c>
      <c r="W14" s="392">
        <f t="shared" ref="W14:W16" si="14">G14+M14+S14</f>
        <v>26000</v>
      </c>
      <c r="X14" s="354">
        <f t="shared" ref="X14:X16" si="15">J14+P14+V14</f>
        <v>26000</v>
      </c>
      <c r="Y14" s="354">
        <f t="shared" si="6"/>
        <v>0</v>
      </c>
      <c r="Z14" s="553">
        <f t="shared" si="7"/>
        <v>0</v>
      </c>
      <c r="AA14" s="547"/>
      <c r="AB14" s="385"/>
      <c r="AC14" s="334"/>
      <c r="AD14" s="334"/>
      <c r="AE14" s="334"/>
      <c r="AF14" s="334"/>
      <c r="AG14" s="334"/>
    </row>
    <row r="15" spans="1:33" s="335" customFormat="1" ht="30" customHeight="1">
      <c r="A15" s="361" t="s">
        <v>51</v>
      </c>
      <c r="B15" s="386" t="s">
        <v>627</v>
      </c>
      <c r="C15" s="401" t="s">
        <v>628</v>
      </c>
      <c r="D15" s="388" t="s">
        <v>53</v>
      </c>
      <c r="E15" s="377"/>
      <c r="F15" s="375"/>
      <c r="G15" s="376">
        <f t="shared" si="8"/>
        <v>0</v>
      </c>
      <c r="H15" s="377"/>
      <c r="I15" s="375"/>
      <c r="J15" s="376">
        <f t="shared" si="9"/>
        <v>0</v>
      </c>
      <c r="K15" s="377"/>
      <c r="L15" s="375"/>
      <c r="M15" s="376">
        <f t="shared" si="10"/>
        <v>0</v>
      </c>
      <c r="N15" s="377"/>
      <c r="O15" s="375"/>
      <c r="P15" s="376">
        <f t="shared" si="11"/>
        <v>0</v>
      </c>
      <c r="Q15" s="377"/>
      <c r="R15" s="375"/>
      <c r="S15" s="376">
        <f t="shared" si="12"/>
        <v>0</v>
      </c>
      <c r="T15" s="377"/>
      <c r="U15" s="375"/>
      <c r="V15" s="376">
        <f t="shared" si="13"/>
        <v>0</v>
      </c>
      <c r="W15" s="392">
        <f t="shared" si="14"/>
        <v>0</v>
      </c>
      <c r="X15" s="354">
        <f t="shared" si="15"/>
        <v>0</v>
      </c>
      <c r="Y15" s="354">
        <f t="shared" si="6"/>
        <v>0</v>
      </c>
      <c r="Z15" s="553" t="e">
        <f t="shared" si="7"/>
        <v>#DIV/0!</v>
      </c>
      <c r="AA15" s="547"/>
      <c r="AB15" s="334"/>
      <c r="AC15" s="334"/>
      <c r="AD15" s="334"/>
      <c r="AE15" s="334"/>
      <c r="AF15" s="334"/>
      <c r="AG15" s="334"/>
    </row>
    <row r="16" spans="1:33" s="335" customFormat="1" ht="30" customHeight="1" thickBot="1">
      <c r="A16" s="393" t="s">
        <v>51</v>
      </c>
      <c r="B16" s="394" t="s">
        <v>629</v>
      </c>
      <c r="C16" s="401" t="s">
        <v>628</v>
      </c>
      <c r="D16" s="405" t="s">
        <v>53</v>
      </c>
      <c r="E16" s="330"/>
      <c r="F16" s="331"/>
      <c r="G16" s="332">
        <f t="shared" si="8"/>
        <v>0</v>
      </c>
      <c r="H16" s="330"/>
      <c r="I16" s="331"/>
      <c r="J16" s="332">
        <f t="shared" si="9"/>
        <v>0</v>
      </c>
      <c r="K16" s="330"/>
      <c r="L16" s="331"/>
      <c r="M16" s="332">
        <f t="shared" si="10"/>
        <v>0</v>
      </c>
      <c r="N16" s="330"/>
      <c r="O16" s="331"/>
      <c r="P16" s="332">
        <f t="shared" si="11"/>
        <v>0</v>
      </c>
      <c r="Q16" s="330"/>
      <c r="R16" s="375"/>
      <c r="S16" s="332">
        <f t="shared" si="12"/>
        <v>0</v>
      </c>
      <c r="T16" s="330"/>
      <c r="U16" s="375"/>
      <c r="V16" s="332">
        <f t="shared" si="13"/>
        <v>0</v>
      </c>
      <c r="W16" s="333">
        <f t="shared" si="14"/>
        <v>0</v>
      </c>
      <c r="X16" s="354">
        <f t="shared" si="15"/>
        <v>0</v>
      </c>
      <c r="Y16" s="354">
        <f t="shared" si="6"/>
        <v>0</v>
      </c>
      <c r="Z16" s="553" t="e">
        <f t="shared" si="7"/>
        <v>#DIV/0!</v>
      </c>
      <c r="AA16" s="547"/>
      <c r="AB16" s="334"/>
      <c r="AC16" s="334"/>
      <c r="AD16" s="334"/>
      <c r="AE16" s="334"/>
      <c r="AF16" s="334"/>
      <c r="AG16" s="334"/>
    </row>
    <row r="17" spans="1:33" ht="30" customHeight="1">
      <c r="A17" s="106" t="s">
        <v>50</v>
      </c>
      <c r="B17" s="107" t="s">
        <v>247</v>
      </c>
      <c r="C17" s="596" t="s">
        <v>248</v>
      </c>
      <c r="D17" s="135"/>
      <c r="E17" s="136">
        <f>SUM(E18:E20)</f>
        <v>8</v>
      </c>
      <c r="F17" s="137"/>
      <c r="G17" s="138">
        <f t="shared" ref="G17:H17" si="16">SUM(G18:G20)</f>
        <v>54800</v>
      </c>
      <c r="H17" s="136">
        <f t="shared" si="16"/>
        <v>8</v>
      </c>
      <c r="I17" s="137"/>
      <c r="J17" s="138">
        <f t="shared" ref="J17:K17" si="17">SUM(J18:J20)</f>
        <v>54800</v>
      </c>
      <c r="K17" s="136">
        <f t="shared" si="17"/>
        <v>0</v>
      </c>
      <c r="L17" s="137"/>
      <c r="M17" s="138">
        <f t="shared" ref="M17:N17" si="18">SUM(M18:M20)</f>
        <v>0</v>
      </c>
      <c r="N17" s="136">
        <f t="shared" si="18"/>
        <v>0</v>
      </c>
      <c r="O17" s="137"/>
      <c r="P17" s="138">
        <f t="shared" ref="P17:Q17" si="19">SUM(P18:P20)</f>
        <v>0</v>
      </c>
      <c r="Q17" s="136">
        <f t="shared" si="19"/>
        <v>0</v>
      </c>
      <c r="R17" s="137"/>
      <c r="S17" s="138">
        <f t="shared" ref="S17:T17" si="20">SUM(S18:S20)</f>
        <v>0</v>
      </c>
      <c r="T17" s="136">
        <f t="shared" si="20"/>
        <v>0</v>
      </c>
      <c r="U17" s="137"/>
      <c r="V17" s="138">
        <f t="shared" ref="V17:X17" si="21">SUM(V18:V20)</f>
        <v>0</v>
      </c>
      <c r="W17" s="138">
        <f t="shared" si="21"/>
        <v>54800</v>
      </c>
      <c r="X17" s="139">
        <f t="shared" si="21"/>
        <v>54800</v>
      </c>
      <c r="Y17" s="139">
        <f t="shared" si="6"/>
        <v>0</v>
      </c>
      <c r="Z17" s="583">
        <f t="shared" si="7"/>
        <v>0</v>
      </c>
      <c r="AA17" s="548"/>
      <c r="AB17" s="114"/>
      <c r="AC17" s="114"/>
      <c r="AD17" s="114"/>
      <c r="AE17" s="114"/>
      <c r="AF17" s="114"/>
      <c r="AG17" s="114"/>
    </row>
    <row r="18" spans="1:33" s="335" customFormat="1" ht="34.5" customHeight="1">
      <c r="A18" s="361" t="s">
        <v>51</v>
      </c>
      <c r="B18" s="389" t="s">
        <v>249</v>
      </c>
      <c r="C18" s="397" t="s">
        <v>55</v>
      </c>
      <c r="D18" s="432" t="s">
        <v>53</v>
      </c>
      <c r="E18" s="377">
        <v>4</v>
      </c>
      <c r="F18" s="375">
        <v>7000</v>
      </c>
      <c r="G18" s="376">
        <f t="shared" ref="G18:G20" si="22">E18*F18</f>
        <v>28000</v>
      </c>
      <c r="H18" s="377">
        <v>4</v>
      </c>
      <c r="I18" s="375">
        <v>7000</v>
      </c>
      <c r="J18" s="376">
        <f t="shared" ref="J18:J20" si="23">H18*I18</f>
        <v>28000</v>
      </c>
      <c r="K18" s="377"/>
      <c r="L18" s="375"/>
      <c r="M18" s="376">
        <f t="shared" ref="M18:M20" si="24">K18*L18</f>
        <v>0</v>
      </c>
      <c r="N18" s="377"/>
      <c r="O18" s="375"/>
      <c r="P18" s="376">
        <f t="shared" ref="P18:P20" si="25">N18*O18</f>
        <v>0</v>
      </c>
      <c r="Q18" s="377"/>
      <c r="R18" s="375"/>
      <c r="S18" s="376">
        <f t="shared" ref="S18:S20" si="26">Q18*R18</f>
        <v>0</v>
      </c>
      <c r="T18" s="377"/>
      <c r="U18" s="375"/>
      <c r="V18" s="376">
        <f t="shared" ref="V18:V20" si="27">T18*U18</f>
        <v>0</v>
      </c>
      <c r="W18" s="392">
        <f t="shared" ref="W18:W20" si="28">G18+M18+S18</f>
        <v>28000</v>
      </c>
      <c r="X18" s="354">
        <f t="shared" ref="X18:X20" si="29">J18+P18+V18</f>
        <v>28000</v>
      </c>
      <c r="Y18" s="354">
        <f t="shared" si="6"/>
        <v>0</v>
      </c>
      <c r="Z18" s="553">
        <f t="shared" si="7"/>
        <v>0</v>
      </c>
      <c r="AA18" s="547"/>
      <c r="AB18" s="334"/>
      <c r="AC18" s="334"/>
      <c r="AD18" s="334"/>
      <c r="AE18" s="334"/>
      <c r="AF18" s="334"/>
      <c r="AG18" s="334"/>
    </row>
    <row r="19" spans="1:33" s="335" customFormat="1" ht="55.5" customHeight="1">
      <c r="A19" s="361" t="s">
        <v>51</v>
      </c>
      <c r="B19" s="389" t="s">
        <v>630</v>
      </c>
      <c r="C19" s="423" t="s">
        <v>56</v>
      </c>
      <c r="D19" s="432" t="s">
        <v>53</v>
      </c>
      <c r="E19" s="377">
        <v>4</v>
      </c>
      <c r="F19" s="375">
        <v>6700</v>
      </c>
      <c r="G19" s="376">
        <f t="shared" si="22"/>
        <v>26800</v>
      </c>
      <c r="H19" s="377">
        <v>4</v>
      </c>
      <c r="I19" s="375">
        <v>6700</v>
      </c>
      <c r="J19" s="376">
        <f t="shared" si="23"/>
        <v>26800</v>
      </c>
      <c r="K19" s="377"/>
      <c r="L19" s="375"/>
      <c r="M19" s="376">
        <f t="shared" si="24"/>
        <v>0</v>
      </c>
      <c r="N19" s="377"/>
      <c r="O19" s="375"/>
      <c r="P19" s="376">
        <f t="shared" si="25"/>
        <v>0</v>
      </c>
      <c r="Q19" s="377"/>
      <c r="R19" s="375"/>
      <c r="S19" s="376">
        <f t="shared" si="26"/>
        <v>0</v>
      </c>
      <c r="T19" s="377"/>
      <c r="U19" s="375"/>
      <c r="V19" s="376">
        <f t="shared" si="27"/>
        <v>0</v>
      </c>
      <c r="W19" s="392">
        <f t="shared" si="28"/>
        <v>26800</v>
      </c>
      <c r="X19" s="354">
        <f t="shared" si="29"/>
        <v>26800</v>
      </c>
      <c r="Y19" s="354">
        <f t="shared" si="6"/>
        <v>0</v>
      </c>
      <c r="Z19" s="553">
        <f t="shared" si="7"/>
        <v>0</v>
      </c>
      <c r="AA19" s="547"/>
      <c r="AB19" s="334"/>
      <c r="AC19" s="334"/>
      <c r="AD19" s="334"/>
      <c r="AE19" s="334"/>
      <c r="AF19" s="334"/>
      <c r="AG19" s="334"/>
    </row>
    <row r="20" spans="1:33" ht="30" customHeight="1" thickBot="1">
      <c r="A20" s="140" t="s">
        <v>51</v>
      </c>
      <c r="B20" s="128" t="s">
        <v>631</v>
      </c>
      <c r="C20" s="597" t="s">
        <v>628</v>
      </c>
      <c r="D20" s="141" t="s">
        <v>53</v>
      </c>
      <c r="E20" s="142"/>
      <c r="F20" s="143"/>
      <c r="G20" s="144">
        <f t="shared" si="22"/>
        <v>0</v>
      </c>
      <c r="H20" s="142"/>
      <c r="I20" s="143"/>
      <c r="J20" s="144">
        <f t="shared" si="23"/>
        <v>0</v>
      </c>
      <c r="K20" s="142"/>
      <c r="L20" s="143"/>
      <c r="M20" s="144">
        <f t="shared" si="24"/>
        <v>0</v>
      </c>
      <c r="N20" s="142"/>
      <c r="O20" s="143"/>
      <c r="P20" s="144">
        <f t="shared" si="25"/>
        <v>0</v>
      </c>
      <c r="Q20" s="142"/>
      <c r="R20" s="143"/>
      <c r="S20" s="144">
        <f t="shared" si="26"/>
        <v>0</v>
      </c>
      <c r="T20" s="142"/>
      <c r="U20" s="143"/>
      <c r="V20" s="144">
        <f t="shared" si="27"/>
        <v>0</v>
      </c>
      <c r="W20" s="133">
        <f t="shared" si="28"/>
        <v>0</v>
      </c>
      <c r="X20" s="122">
        <f t="shared" si="29"/>
        <v>0</v>
      </c>
      <c r="Y20" s="122">
        <f t="shared" si="6"/>
        <v>0</v>
      </c>
      <c r="Z20" s="554" t="e">
        <f t="shared" si="7"/>
        <v>#DIV/0!</v>
      </c>
      <c r="AA20" s="549"/>
      <c r="AB20" s="125"/>
      <c r="AC20" s="125"/>
      <c r="AD20" s="125"/>
      <c r="AE20" s="125"/>
      <c r="AF20" s="125"/>
      <c r="AG20" s="125"/>
    </row>
    <row r="21" spans="1:33" ht="30" customHeight="1">
      <c r="A21" s="106" t="s">
        <v>50</v>
      </c>
      <c r="B21" s="107" t="s">
        <v>253</v>
      </c>
      <c r="C21" s="145" t="s">
        <v>57</v>
      </c>
      <c r="D21" s="135"/>
      <c r="E21" s="136">
        <f>SUM(E22:E30)</f>
        <v>31</v>
      </c>
      <c r="F21" s="136"/>
      <c r="G21" s="136">
        <f t="shared" ref="G21:H21" si="30">SUM(G22:G30)</f>
        <v>199000</v>
      </c>
      <c r="H21" s="136">
        <f t="shared" si="30"/>
        <v>31</v>
      </c>
      <c r="I21" s="136"/>
      <c r="J21" s="136">
        <f t="shared" ref="J21:K21" si="31">SUM(J22:J30)</f>
        <v>199000</v>
      </c>
      <c r="K21" s="136">
        <f t="shared" si="31"/>
        <v>0</v>
      </c>
      <c r="L21" s="136"/>
      <c r="M21" s="136">
        <f t="shared" ref="M21:N21" si="32">SUM(M22:M30)</f>
        <v>0</v>
      </c>
      <c r="N21" s="136">
        <f t="shared" si="32"/>
        <v>0</v>
      </c>
      <c r="O21" s="136"/>
      <c r="P21" s="136">
        <f t="shared" ref="P21:Q21" si="33">SUM(P22:P30)</f>
        <v>0</v>
      </c>
      <c r="Q21" s="136">
        <f t="shared" si="33"/>
        <v>0</v>
      </c>
      <c r="R21" s="136"/>
      <c r="S21" s="136">
        <f t="shared" ref="S21:T21" si="34">SUM(S22:S30)</f>
        <v>0</v>
      </c>
      <c r="T21" s="136">
        <f t="shared" si="34"/>
        <v>0</v>
      </c>
      <c r="U21" s="136"/>
      <c r="V21" s="136">
        <f t="shared" ref="V21:X21" si="35">SUM(V22:V30)</f>
        <v>0</v>
      </c>
      <c r="W21" s="136">
        <f t="shared" si="35"/>
        <v>199000</v>
      </c>
      <c r="X21" s="136">
        <f t="shared" si="35"/>
        <v>199000</v>
      </c>
      <c r="Y21" s="113">
        <f t="shared" si="6"/>
        <v>0</v>
      </c>
      <c r="Z21" s="582">
        <f t="shared" si="7"/>
        <v>0</v>
      </c>
      <c r="AA21" s="548"/>
      <c r="AB21" s="114"/>
      <c r="AC21" s="114"/>
      <c r="AD21" s="114"/>
      <c r="AE21" s="114"/>
      <c r="AF21" s="114"/>
      <c r="AG21" s="114"/>
    </row>
    <row r="22" spans="1:33" s="335" customFormat="1" ht="30" customHeight="1">
      <c r="A22" s="393" t="s">
        <v>51</v>
      </c>
      <c r="B22" s="394" t="s">
        <v>254</v>
      </c>
      <c r="C22" s="398" t="s">
        <v>58</v>
      </c>
      <c r="D22" s="405" t="s">
        <v>53</v>
      </c>
      <c r="E22" s="330">
        <v>4</v>
      </c>
      <c r="F22" s="331">
        <v>8000</v>
      </c>
      <c r="G22" s="332">
        <f t="shared" ref="G22:G30" si="36">E22*F22</f>
        <v>32000</v>
      </c>
      <c r="H22" s="330">
        <v>4</v>
      </c>
      <c r="I22" s="331">
        <v>8000</v>
      </c>
      <c r="J22" s="332">
        <f t="shared" ref="J22:J30" si="37">H22*I22</f>
        <v>32000</v>
      </c>
      <c r="K22" s="377"/>
      <c r="L22" s="375"/>
      <c r="M22" s="376">
        <f t="shared" ref="M22:M30" si="38">K22*L22</f>
        <v>0</v>
      </c>
      <c r="N22" s="377"/>
      <c r="O22" s="375"/>
      <c r="P22" s="376">
        <f t="shared" ref="P22:P30" si="39">N22*O22</f>
        <v>0</v>
      </c>
      <c r="Q22" s="377"/>
      <c r="R22" s="375"/>
      <c r="S22" s="376">
        <f t="shared" ref="S22:S30" si="40">Q22*R22</f>
        <v>0</v>
      </c>
      <c r="T22" s="377"/>
      <c r="U22" s="375"/>
      <c r="V22" s="376">
        <f t="shared" ref="V22:V30" si="41">T22*U22</f>
        <v>0</v>
      </c>
      <c r="W22" s="392">
        <f t="shared" ref="W22:W30" si="42">G22+M22+S22</f>
        <v>32000</v>
      </c>
      <c r="X22" s="354">
        <f t="shared" ref="X22:X30" si="43">J22+P22+V22</f>
        <v>32000</v>
      </c>
      <c r="Y22" s="354">
        <f t="shared" si="6"/>
        <v>0</v>
      </c>
      <c r="Z22" s="553">
        <f t="shared" si="7"/>
        <v>0</v>
      </c>
      <c r="AA22" s="547"/>
      <c r="AB22" s="334"/>
      <c r="AC22" s="334"/>
      <c r="AD22" s="334"/>
      <c r="AE22" s="334"/>
      <c r="AF22" s="334"/>
      <c r="AG22" s="334"/>
    </row>
    <row r="23" spans="1:33" s="335" customFormat="1" ht="30" customHeight="1">
      <c r="A23" s="406" t="s">
        <v>51</v>
      </c>
      <c r="B23" s="407" t="s">
        <v>259</v>
      </c>
      <c r="C23" s="397" t="s">
        <v>59</v>
      </c>
      <c r="D23" s="408" t="s">
        <v>53</v>
      </c>
      <c r="E23" s="351">
        <v>4</v>
      </c>
      <c r="F23" s="351">
        <v>7500</v>
      </c>
      <c r="G23" s="351">
        <f t="shared" si="36"/>
        <v>30000</v>
      </c>
      <c r="H23" s="351">
        <v>4</v>
      </c>
      <c r="I23" s="351">
        <v>7500</v>
      </c>
      <c r="J23" s="351">
        <f t="shared" si="37"/>
        <v>30000</v>
      </c>
      <c r="K23" s="374"/>
      <c r="L23" s="375"/>
      <c r="M23" s="376">
        <f t="shared" si="38"/>
        <v>0</v>
      </c>
      <c r="N23" s="377"/>
      <c r="O23" s="375"/>
      <c r="P23" s="376">
        <f t="shared" si="39"/>
        <v>0</v>
      </c>
      <c r="Q23" s="377"/>
      <c r="R23" s="375"/>
      <c r="S23" s="376">
        <f t="shared" si="40"/>
        <v>0</v>
      </c>
      <c r="T23" s="377"/>
      <c r="U23" s="375"/>
      <c r="V23" s="376">
        <f t="shared" si="41"/>
        <v>0</v>
      </c>
      <c r="W23" s="392">
        <f t="shared" si="42"/>
        <v>30000</v>
      </c>
      <c r="X23" s="354">
        <f t="shared" si="43"/>
        <v>30000</v>
      </c>
      <c r="Y23" s="354">
        <f t="shared" si="6"/>
        <v>0</v>
      </c>
      <c r="Z23" s="553">
        <f t="shared" si="7"/>
        <v>0</v>
      </c>
      <c r="AA23" s="547"/>
      <c r="AB23" s="334"/>
      <c r="AC23" s="334"/>
      <c r="AD23" s="334"/>
      <c r="AE23" s="334"/>
      <c r="AF23" s="334"/>
      <c r="AG23" s="334"/>
    </row>
    <row r="24" spans="1:33" s="335" customFormat="1" ht="30" customHeight="1">
      <c r="A24" s="406" t="s">
        <v>51</v>
      </c>
      <c r="B24" s="407" t="s">
        <v>263</v>
      </c>
      <c r="C24" s="397" t="s">
        <v>60</v>
      </c>
      <c r="D24" s="408" t="s">
        <v>53</v>
      </c>
      <c r="E24" s="351">
        <v>3</v>
      </c>
      <c r="F24" s="351">
        <v>6000</v>
      </c>
      <c r="G24" s="351">
        <f t="shared" si="36"/>
        <v>18000</v>
      </c>
      <c r="H24" s="351">
        <v>3</v>
      </c>
      <c r="I24" s="351">
        <v>6000</v>
      </c>
      <c r="J24" s="351">
        <f t="shared" si="37"/>
        <v>18000</v>
      </c>
      <c r="K24" s="352"/>
      <c r="L24" s="331"/>
      <c r="M24" s="332">
        <f t="shared" si="38"/>
        <v>0</v>
      </c>
      <c r="N24" s="330"/>
      <c r="O24" s="331"/>
      <c r="P24" s="332">
        <f t="shared" si="39"/>
        <v>0</v>
      </c>
      <c r="Q24" s="330"/>
      <c r="R24" s="331"/>
      <c r="S24" s="332">
        <f t="shared" si="40"/>
        <v>0</v>
      </c>
      <c r="T24" s="330"/>
      <c r="U24" s="331"/>
      <c r="V24" s="332">
        <f t="shared" si="41"/>
        <v>0</v>
      </c>
      <c r="W24" s="333">
        <f t="shared" si="42"/>
        <v>18000</v>
      </c>
      <c r="X24" s="409">
        <f t="shared" si="43"/>
        <v>18000</v>
      </c>
      <c r="Y24" s="409">
        <f t="shared" si="6"/>
        <v>0</v>
      </c>
      <c r="Z24" s="559">
        <f t="shared" si="7"/>
        <v>0</v>
      </c>
      <c r="AA24" s="547"/>
      <c r="AB24" s="334"/>
      <c r="AC24" s="334"/>
      <c r="AD24" s="334"/>
      <c r="AE24" s="334"/>
      <c r="AF24" s="334"/>
      <c r="AG24" s="334"/>
    </row>
    <row r="25" spans="1:33" s="335" customFormat="1" ht="36" customHeight="1">
      <c r="A25" s="410" t="s">
        <v>51</v>
      </c>
      <c r="B25" s="411" t="s">
        <v>266</v>
      </c>
      <c r="C25" s="397" t="s">
        <v>61</v>
      </c>
      <c r="D25" s="408" t="s">
        <v>53</v>
      </c>
      <c r="E25" s="351">
        <v>4</v>
      </c>
      <c r="F25" s="351">
        <v>6500</v>
      </c>
      <c r="G25" s="351">
        <f t="shared" si="36"/>
        <v>26000</v>
      </c>
      <c r="H25" s="351">
        <v>4</v>
      </c>
      <c r="I25" s="351">
        <v>6500</v>
      </c>
      <c r="J25" s="412">
        <f t="shared" si="37"/>
        <v>26000</v>
      </c>
      <c r="K25" s="351"/>
      <c r="L25" s="351"/>
      <c r="M25" s="332">
        <f t="shared" si="38"/>
        <v>0</v>
      </c>
      <c r="N25" s="351"/>
      <c r="O25" s="351"/>
      <c r="P25" s="332">
        <f t="shared" si="39"/>
        <v>0</v>
      </c>
      <c r="Q25" s="351"/>
      <c r="R25" s="351"/>
      <c r="S25" s="332">
        <f t="shared" si="40"/>
        <v>0</v>
      </c>
      <c r="T25" s="351"/>
      <c r="U25" s="351"/>
      <c r="V25" s="332">
        <f t="shared" si="41"/>
        <v>0</v>
      </c>
      <c r="W25" s="413">
        <f t="shared" si="42"/>
        <v>26000</v>
      </c>
      <c r="X25" s="413">
        <f t="shared" si="43"/>
        <v>26000</v>
      </c>
      <c r="Y25" s="413">
        <f t="shared" si="6"/>
        <v>0</v>
      </c>
      <c r="Z25" s="559">
        <f t="shared" si="7"/>
        <v>0</v>
      </c>
      <c r="AA25" s="547"/>
      <c r="AB25" s="334"/>
      <c r="AC25" s="334"/>
      <c r="AD25" s="334"/>
      <c r="AE25" s="334"/>
      <c r="AF25" s="334"/>
      <c r="AG25" s="334"/>
    </row>
    <row r="26" spans="1:33" s="335" customFormat="1" ht="30" customHeight="1">
      <c r="A26" s="410" t="s">
        <v>51</v>
      </c>
      <c r="B26" s="411" t="s">
        <v>270</v>
      </c>
      <c r="C26" s="397" t="s">
        <v>62</v>
      </c>
      <c r="D26" s="408" t="s">
        <v>53</v>
      </c>
      <c r="E26" s="351">
        <v>3</v>
      </c>
      <c r="F26" s="351">
        <v>7000</v>
      </c>
      <c r="G26" s="351">
        <f t="shared" si="36"/>
        <v>21000</v>
      </c>
      <c r="H26" s="351">
        <v>3</v>
      </c>
      <c r="I26" s="351">
        <v>7000</v>
      </c>
      <c r="J26" s="412">
        <f t="shared" si="37"/>
        <v>21000</v>
      </c>
      <c r="K26" s="351"/>
      <c r="L26" s="351"/>
      <c r="M26" s="332">
        <f t="shared" si="38"/>
        <v>0</v>
      </c>
      <c r="N26" s="351"/>
      <c r="O26" s="351"/>
      <c r="P26" s="332">
        <f t="shared" si="39"/>
        <v>0</v>
      </c>
      <c r="Q26" s="351"/>
      <c r="R26" s="351"/>
      <c r="S26" s="332">
        <f t="shared" si="40"/>
        <v>0</v>
      </c>
      <c r="T26" s="351"/>
      <c r="U26" s="351"/>
      <c r="V26" s="332">
        <f t="shared" si="41"/>
        <v>0</v>
      </c>
      <c r="W26" s="413">
        <f t="shared" si="42"/>
        <v>21000</v>
      </c>
      <c r="X26" s="413">
        <f t="shared" si="43"/>
        <v>21000</v>
      </c>
      <c r="Y26" s="413">
        <f t="shared" si="6"/>
        <v>0</v>
      </c>
      <c r="Z26" s="559">
        <f t="shared" si="7"/>
        <v>0</v>
      </c>
      <c r="AA26" s="547"/>
      <c r="AB26" s="334"/>
      <c r="AC26" s="334"/>
      <c r="AD26" s="334"/>
      <c r="AE26" s="334"/>
      <c r="AF26" s="334"/>
      <c r="AG26" s="334"/>
    </row>
    <row r="27" spans="1:33" s="335" customFormat="1" ht="63.75" customHeight="1">
      <c r="A27" s="410" t="s">
        <v>51</v>
      </c>
      <c r="B27" s="411" t="s">
        <v>276</v>
      </c>
      <c r="C27" s="397" t="s">
        <v>63</v>
      </c>
      <c r="D27" s="408" t="s">
        <v>53</v>
      </c>
      <c r="E27" s="351">
        <v>2</v>
      </c>
      <c r="F27" s="351">
        <v>4500</v>
      </c>
      <c r="G27" s="351">
        <f t="shared" si="36"/>
        <v>9000</v>
      </c>
      <c r="H27" s="351">
        <v>2</v>
      </c>
      <c r="I27" s="351">
        <v>4500</v>
      </c>
      <c r="J27" s="412">
        <f t="shared" si="37"/>
        <v>9000</v>
      </c>
      <c r="K27" s="351"/>
      <c r="L27" s="351"/>
      <c r="M27" s="332">
        <f t="shared" si="38"/>
        <v>0</v>
      </c>
      <c r="N27" s="351"/>
      <c r="O27" s="351"/>
      <c r="P27" s="332">
        <f t="shared" si="39"/>
        <v>0</v>
      </c>
      <c r="Q27" s="351"/>
      <c r="R27" s="351"/>
      <c r="S27" s="332">
        <f t="shared" si="40"/>
        <v>0</v>
      </c>
      <c r="T27" s="351"/>
      <c r="U27" s="351"/>
      <c r="V27" s="332">
        <f t="shared" si="41"/>
        <v>0</v>
      </c>
      <c r="W27" s="413">
        <f t="shared" si="42"/>
        <v>9000</v>
      </c>
      <c r="X27" s="413">
        <f t="shared" si="43"/>
        <v>9000</v>
      </c>
      <c r="Y27" s="413">
        <f t="shared" si="6"/>
        <v>0</v>
      </c>
      <c r="Z27" s="559">
        <f t="shared" si="7"/>
        <v>0</v>
      </c>
      <c r="AA27" s="547"/>
      <c r="AB27" s="334"/>
      <c r="AC27" s="334"/>
      <c r="AD27" s="334"/>
      <c r="AE27" s="334"/>
      <c r="AF27" s="334"/>
      <c r="AG27" s="334"/>
    </row>
    <row r="28" spans="1:33" s="335" customFormat="1" ht="51" customHeight="1">
      <c r="A28" s="410" t="s">
        <v>51</v>
      </c>
      <c r="B28" s="411" t="s">
        <v>280</v>
      </c>
      <c r="C28" s="397" t="s">
        <v>64</v>
      </c>
      <c r="D28" s="408" t="s">
        <v>53</v>
      </c>
      <c r="E28" s="351">
        <v>4</v>
      </c>
      <c r="F28" s="351">
        <v>7000</v>
      </c>
      <c r="G28" s="351">
        <f t="shared" si="36"/>
        <v>28000</v>
      </c>
      <c r="H28" s="351">
        <v>4</v>
      </c>
      <c r="I28" s="351">
        <v>7000</v>
      </c>
      <c r="J28" s="412">
        <f t="shared" si="37"/>
        <v>28000</v>
      </c>
      <c r="K28" s="351"/>
      <c r="L28" s="351"/>
      <c r="M28" s="332">
        <f t="shared" si="38"/>
        <v>0</v>
      </c>
      <c r="N28" s="351"/>
      <c r="O28" s="351"/>
      <c r="P28" s="332">
        <f t="shared" si="39"/>
        <v>0</v>
      </c>
      <c r="Q28" s="351"/>
      <c r="R28" s="351"/>
      <c r="S28" s="332">
        <f t="shared" si="40"/>
        <v>0</v>
      </c>
      <c r="T28" s="351"/>
      <c r="U28" s="351"/>
      <c r="V28" s="332">
        <f t="shared" si="41"/>
        <v>0</v>
      </c>
      <c r="W28" s="413">
        <f t="shared" si="42"/>
        <v>28000</v>
      </c>
      <c r="X28" s="413">
        <f t="shared" si="43"/>
        <v>28000</v>
      </c>
      <c r="Y28" s="413">
        <f t="shared" si="6"/>
        <v>0</v>
      </c>
      <c r="Z28" s="559">
        <f t="shared" si="7"/>
        <v>0</v>
      </c>
      <c r="AA28" s="547"/>
      <c r="AB28" s="334"/>
      <c r="AC28" s="334"/>
      <c r="AD28" s="334"/>
      <c r="AE28" s="334"/>
      <c r="AF28" s="334"/>
      <c r="AG28" s="334"/>
    </row>
    <row r="29" spans="1:33" s="335" customFormat="1" ht="43.5" customHeight="1">
      <c r="A29" s="410" t="s">
        <v>51</v>
      </c>
      <c r="B29" s="411" t="s">
        <v>283</v>
      </c>
      <c r="C29" s="397" t="s">
        <v>65</v>
      </c>
      <c r="D29" s="408" t="s">
        <v>53</v>
      </c>
      <c r="E29" s="351">
        <v>4</v>
      </c>
      <c r="F29" s="351">
        <v>5000</v>
      </c>
      <c r="G29" s="351">
        <f t="shared" si="36"/>
        <v>20000</v>
      </c>
      <c r="H29" s="351">
        <v>4</v>
      </c>
      <c r="I29" s="351">
        <v>5000</v>
      </c>
      <c r="J29" s="412">
        <f t="shared" si="37"/>
        <v>20000</v>
      </c>
      <c r="K29" s="351"/>
      <c r="L29" s="351"/>
      <c r="M29" s="332">
        <f t="shared" si="38"/>
        <v>0</v>
      </c>
      <c r="N29" s="351"/>
      <c r="O29" s="351"/>
      <c r="P29" s="332">
        <f t="shared" si="39"/>
        <v>0</v>
      </c>
      <c r="Q29" s="351"/>
      <c r="R29" s="351"/>
      <c r="S29" s="332">
        <f t="shared" si="40"/>
        <v>0</v>
      </c>
      <c r="T29" s="351"/>
      <c r="U29" s="351"/>
      <c r="V29" s="332">
        <f t="shared" si="41"/>
        <v>0</v>
      </c>
      <c r="W29" s="413">
        <f t="shared" si="42"/>
        <v>20000</v>
      </c>
      <c r="X29" s="413">
        <f t="shared" si="43"/>
        <v>20000</v>
      </c>
      <c r="Y29" s="413">
        <f t="shared" si="6"/>
        <v>0</v>
      </c>
      <c r="Z29" s="559">
        <f t="shared" si="7"/>
        <v>0</v>
      </c>
      <c r="AA29" s="547"/>
      <c r="AB29" s="334"/>
      <c r="AC29" s="334"/>
      <c r="AD29" s="334"/>
      <c r="AE29" s="334"/>
      <c r="AF29" s="334"/>
      <c r="AG29" s="334"/>
    </row>
    <row r="30" spans="1:33" s="335" customFormat="1" ht="39.75" customHeight="1">
      <c r="A30" s="410" t="s">
        <v>51</v>
      </c>
      <c r="B30" s="411" t="s">
        <v>287</v>
      </c>
      <c r="C30" s="397" t="s">
        <v>66</v>
      </c>
      <c r="D30" s="408" t="s">
        <v>53</v>
      </c>
      <c r="E30" s="351">
        <v>3</v>
      </c>
      <c r="F30" s="351">
        <v>5000</v>
      </c>
      <c r="G30" s="351">
        <f t="shared" si="36"/>
        <v>15000</v>
      </c>
      <c r="H30" s="351">
        <v>3</v>
      </c>
      <c r="I30" s="351">
        <v>5000</v>
      </c>
      <c r="J30" s="412">
        <f t="shared" si="37"/>
        <v>15000</v>
      </c>
      <c r="K30" s="351"/>
      <c r="L30" s="351"/>
      <c r="M30" s="332">
        <f t="shared" si="38"/>
        <v>0</v>
      </c>
      <c r="N30" s="351"/>
      <c r="O30" s="351"/>
      <c r="P30" s="332">
        <f t="shared" si="39"/>
        <v>0</v>
      </c>
      <c r="Q30" s="351"/>
      <c r="R30" s="351"/>
      <c r="S30" s="332">
        <f t="shared" si="40"/>
        <v>0</v>
      </c>
      <c r="T30" s="351"/>
      <c r="U30" s="351"/>
      <c r="V30" s="332">
        <f t="shared" si="41"/>
        <v>0</v>
      </c>
      <c r="W30" s="413">
        <f t="shared" si="42"/>
        <v>15000</v>
      </c>
      <c r="X30" s="413">
        <f t="shared" si="43"/>
        <v>15000</v>
      </c>
      <c r="Y30" s="413">
        <f t="shared" si="6"/>
        <v>0</v>
      </c>
      <c r="Z30" s="559">
        <f t="shared" si="7"/>
        <v>0</v>
      </c>
      <c r="AA30" s="547"/>
      <c r="AB30" s="334"/>
      <c r="AC30" s="334"/>
      <c r="AD30" s="334"/>
      <c r="AE30" s="334"/>
      <c r="AF30" s="334"/>
      <c r="AG30" s="334"/>
    </row>
    <row r="31" spans="1:33" ht="30" customHeight="1">
      <c r="A31" s="156" t="s">
        <v>49</v>
      </c>
      <c r="B31" s="157" t="s">
        <v>290</v>
      </c>
      <c r="C31" s="108" t="s">
        <v>67</v>
      </c>
      <c r="D31" s="109"/>
      <c r="E31" s="110">
        <f>SUM(E32:E34)</f>
        <v>279800</v>
      </c>
      <c r="F31" s="111"/>
      <c r="G31" s="112">
        <f t="shared" ref="G31:H31" si="44">SUM(G32:G34)</f>
        <v>61556</v>
      </c>
      <c r="H31" s="110">
        <f t="shared" si="44"/>
        <v>279800</v>
      </c>
      <c r="I31" s="111"/>
      <c r="J31" s="158">
        <f t="shared" ref="J31:K31" si="45">SUM(J32:J34)</f>
        <v>61556</v>
      </c>
      <c r="K31" s="159">
        <f t="shared" si="45"/>
        <v>0</v>
      </c>
      <c r="L31" s="159"/>
      <c r="M31" s="159">
        <f t="shared" ref="M31:N31" si="46">SUM(M32:M34)</f>
        <v>0</v>
      </c>
      <c r="N31" s="159">
        <f t="shared" si="46"/>
        <v>0</v>
      </c>
      <c r="O31" s="159"/>
      <c r="P31" s="159">
        <f t="shared" ref="P31:Q31" si="47">SUM(P32:P34)</f>
        <v>0</v>
      </c>
      <c r="Q31" s="159">
        <f t="shared" si="47"/>
        <v>0</v>
      </c>
      <c r="R31" s="159"/>
      <c r="S31" s="159">
        <f t="shared" ref="S31:T31" si="48">SUM(S32:S34)</f>
        <v>0</v>
      </c>
      <c r="T31" s="159">
        <f t="shared" si="48"/>
        <v>0</v>
      </c>
      <c r="U31" s="159"/>
      <c r="V31" s="159">
        <f t="shared" ref="V31:X31" si="49">SUM(V32:V34)</f>
        <v>0</v>
      </c>
      <c r="W31" s="159">
        <f t="shared" si="49"/>
        <v>61556</v>
      </c>
      <c r="X31" s="159">
        <f t="shared" si="49"/>
        <v>61556</v>
      </c>
      <c r="Y31" s="160">
        <f t="shared" si="6"/>
        <v>0</v>
      </c>
      <c r="Z31" s="584">
        <f t="shared" si="7"/>
        <v>0</v>
      </c>
      <c r="AA31" s="548"/>
      <c r="AB31" s="76"/>
      <c r="AC31" s="76"/>
      <c r="AD31" s="76"/>
      <c r="AE31" s="76"/>
      <c r="AF31" s="76"/>
      <c r="AG31" s="76"/>
    </row>
    <row r="32" spans="1:33" s="335" customFormat="1" ht="30" customHeight="1">
      <c r="A32" s="382" t="s">
        <v>51</v>
      </c>
      <c r="B32" s="400" t="s">
        <v>291</v>
      </c>
      <c r="C32" s="401" t="s">
        <v>68</v>
      </c>
      <c r="D32" s="402"/>
      <c r="E32" s="368">
        <f>G13</f>
        <v>26000</v>
      </c>
      <c r="F32" s="366">
        <v>0.22</v>
      </c>
      <c r="G32" s="367">
        <f t="shared" ref="G32:G34" si="50">E32*F32</f>
        <v>5720</v>
      </c>
      <c r="H32" s="368">
        <f>J13</f>
        <v>26000</v>
      </c>
      <c r="I32" s="366">
        <v>0.22</v>
      </c>
      <c r="J32" s="367">
        <f t="shared" ref="J32:J34" si="51">H32*I32</f>
        <v>5720</v>
      </c>
      <c r="K32" s="368">
        <f>M13</f>
        <v>0</v>
      </c>
      <c r="L32" s="366">
        <v>0.22</v>
      </c>
      <c r="M32" s="367">
        <f t="shared" ref="M32:M34" si="52">K32*L32</f>
        <v>0</v>
      </c>
      <c r="N32" s="368">
        <f>P13</f>
        <v>0</v>
      </c>
      <c r="O32" s="366">
        <v>0.22</v>
      </c>
      <c r="P32" s="367">
        <f t="shared" ref="P32:P34" si="53">N32*O32</f>
        <v>0</v>
      </c>
      <c r="Q32" s="368">
        <f>S13</f>
        <v>0</v>
      </c>
      <c r="R32" s="366">
        <v>0.22</v>
      </c>
      <c r="S32" s="367">
        <f t="shared" ref="S32:S34" si="54">Q32*R32</f>
        <v>0</v>
      </c>
      <c r="T32" s="368">
        <f>V13</f>
        <v>0</v>
      </c>
      <c r="U32" s="366">
        <v>0.22</v>
      </c>
      <c r="V32" s="367">
        <f t="shared" ref="V32:V34" si="55">T32*U32</f>
        <v>0</v>
      </c>
      <c r="W32" s="354">
        <f t="shared" ref="W32:W34" si="56">G32+M32+S32</f>
        <v>5720</v>
      </c>
      <c r="X32" s="354">
        <f t="shared" ref="X32:X34" si="57">J32+P32+V32</f>
        <v>5720</v>
      </c>
      <c r="Y32" s="354">
        <f t="shared" si="6"/>
        <v>0</v>
      </c>
      <c r="Z32" s="553">
        <f t="shared" si="7"/>
        <v>0</v>
      </c>
      <c r="AA32" s="547"/>
      <c r="AB32" s="385"/>
      <c r="AC32" s="334"/>
      <c r="AD32" s="334"/>
      <c r="AE32" s="334"/>
      <c r="AF32" s="334"/>
      <c r="AG32" s="334"/>
    </row>
    <row r="33" spans="1:33" s="335" customFormat="1" ht="30" customHeight="1">
      <c r="A33" s="361" t="s">
        <v>51</v>
      </c>
      <c r="B33" s="386" t="s">
        <v>292</v>
      </c>
      <c r="C33" s="401" t="s">
        <v>54</v>
      </c>
      <c r="D33" s="388"/>
      <c r="E33" s="377">
        <f>G17</f>
        <v>54800</v>
      </c>
      <c r="F33" s="375">
        <v>0.22</v>
      </c>
      <c r="G33" s="376">
        <f t="shared" si="50"/>
        <v>12056</v>
      </c>
      <c r="H33" s="377">
        <f>J17</f>
        <v>54800</v>
      </c>
      <c r="I33" s="375">
        <v>0.22</v>
      </c>
      <c r="J33" s="376">
        <f t="shared" si="51"/>
        <v>12056</v>
      </c>
      <c r="K33" s="377">
        <f>M17</f>
        <v>0</v>
      </c>
      <c r="L33" s="375">
        <v>0.22</v>
      </c>
      <c r="M33" s="376">
        <f t="shared" si="52"/>
        <v>0</v>
      </c>
      <c r="N33" s="377">
        <f>P17</f>
        <v>0</v>
      </c>
      <c r="O33" s="375">
        <v>0.22</v>
      </c>
      <c r="P33" s="376">
        <f t="shared" si="53"/>
        <v>0</v>
      </c>
      <c r="Q33" s="377">
        <f>S17</f>
        <v>0</v>
      </c>
      <c r="R33" s="375">
        <v>0.22</v>
      </c>
      <c r="S33" s="376">
        <f t="shared" si="54"/>
        <v>0</v>
      </c>
      <c r="T33" s="377">
        <f>V17</f>
        <v>0</v>
      </c>
      <c r="U33" s="375">
        <v>0.22</v>
      </c>
      <c r="V33" s="376">
        <f t="shared" si="55"/>
        <v>0</v>
      </c>
      <c r="W33" s="392">
        <f t="shared" si="56"/>
        <v>12056</v>
      </c>
      <c r="X33" s="354">
        <f t="shared" si="57"/>
        <v>12056</v>
      </c>
      <c r="Y33" s="354">
        <f t="shared" si="6"/>
        <v>0</v>
      </c>
      <c r="Z33" s="553">
        <f t="shared" si="7"/>
        <v>0</v>
      </c>
      <c r="AA33" s="547"/>
      <c r="AB33" s="334"/>
      <c r="AC33" s="334"/>
      <c r="AD33" s="334"/>
      <c r="AE33" s="334"/>
      <c r="AF33" s="334"/>
      <c r="AG33" s="334"/>
    </row>
    <row r="34" spans="1:33" s="335" customFormat="1" ht="30" customHeight="1" thickBot="1">
      <c r="A34" s="393" t="s">
        <v>51</v>
      </c>
      <c r="B34" s="403" t="s">
        <v>293</v>
      </c>
      <c r="C34" s="404" t="s">
        <v>57</v>
      </c>
      <c r="D34" s="405"/>
      <c r="E34" s="330">
        <f>G21</f>
        <v>199000</v>
      </c>
      <c r="F34" s="331">
        <v>0.22</v>
      </c>
      <c r="G34" s="332">
        <f t="shared" si="50"/>
        <v>43780</v>
      </c>
      <c r="H34" s="330">
        <f>J21</f>
        <v>199000</v>
      </c>
      <c r="I34" s="331">
        <v>0.22</v>
      </c>
      <c r="J34" s="332">
        <f t="shared" si="51"/>
        <v>43780</v>
      </c>
      <c r="K34" s="330">
        <f>M21</f>
        <v>0</v>
      </c>
      <c r="L34" s="331">
        <v>0.22</v>
      </c>
      <c r="M34" s="332">
        <f t="shared" si="52"/>
        <v>0</v>
      </c>
      <c r="N34" s="330">
        <f>P21</f>
        <v>0</v>
      </c>
      <c r="O34" s="331">
        <v>0.22</v>
      </c>
      <c r="P34" s="332">
        <f t="shared" si="53"/>
        <v>0</v>
      </c>
      <c r="Q34" s="330">
        <f>S21</f>
        <v>0</v>
      </c>
      <c r="R34" s="331">
        <v>0.22</v>
      </c>
      <c r="S34" s="332">
        <f t="shared" si="54"/>
        <v>0</v>
      </c>
      <c r="T34" s="330">
        <f>V21</f>
        <v>0</v>
      </c>
      <c r="U34" s="331">
        <v>0.22</v>
      </c>
      <c r="V34" s="332">
        <f t="shared" si="55"/>
        <v>0</v>
      </c>
      <c r="W34" s="333">
        <f t="shared" si="56"/>
        <v>43780</v>
      </c>
      <c r="X34" s="354">
        <f t="shared" si="57"/>
        <v>43780</v>
      </c>
      <c r="Y34" s="354">
        <f t="shared" si="6"/>
        <v>0</v>
      </c>
      <c r="Z34" s="553">
        <f t="shared" si="7"/>
        <v>0</v>
      </c>
      <c r="AA34" s="547"/>
      <c r="AB34" s="334"/>
      <c r="AC34" s="334"/>
      <c r="AD34" s="334"/>
      <c r="AE34" s="334"/>
      <c r="AF34" s="334"/>
      <c r="AG34" s="334"/>
    </row>
    <row r="35" spans="1:33" ht="30" customHeight="1">
      <c r="A35" s="106" t="s">
        <v>50</v>
      </c>
      <c r="B35" s="168" t="s">
        <v>632</v>
      </c>
      <c r="C35" s="134" t="s">
        <v>70</v>
      </c>
      <c r="D35" s="135"/>
      <c r="E35" s="136">
        <f>SUM(E36:E38)</f>
        <v>0</v>
      </c>
      <c r="F35" s="137"/>
      <c r="G35" s="138">
        <f t="shared" ref="G35:H35" si="58">SUM(G36:G38)</f>
        <v>0</v>
      </c>
      <c r="H35" s="136">
        <f t="shared" si="58"/>
        <v>0</v>
      </c>
      <c r="I35" s="137"/>
      <c r="J35" s="138">
        <f t="shared" ref="J35:K35" si="59">SUM(J36:J38)</f>
        <v>0</v>
      </c>
      <c r="K35" s="136">
        <f t="shared" si="59"/>
        <v>0</v>
      </c>
      <c r="L35" s="137"/>
      <c r="M35" s="138">
        <f t="shared" ref="M35:N35" si="60">SUM(M36:M38)</f>
        <v>0</v>
      </c>
      <c r="N35" s="136">
        <f t="shared" si="60"/>
        <v>0</v>
      </c>
      <c r="O35" s="137"/>
      <c r="P35" s="138">
        <f t="shared" ref="P35:Q35" si="61">SUM(P36:P38)</f>
        <v>0</v>
      </c>
      <c r="Q35" s="136">
        <f t="shared" si="61"/>
        <v>0</v>
      </c>
      <c r="R35" s="137"/>
      <c r="S35" s="138">
        <f t="shared" ref="S35:T35" si="62">SUM(S36:S38)</f>
        <v>0</v>
      </c>
      <c r="T35" s="136">
        <f t="shared" si="62"/>
        <v>0</v>
      </c>
      <c r="U35" s="137"/>
      <c r="V35" s="138">
        <f t="shared" ref="V35:X35" si="63">SUM(V36:V38)</f>
        <v>0</v>
      </c>
      <c r="W35" s="138">
        <f t="shared" si="63"/>
        <v>0</v>
      </c>
      <c r="X35" s="138">
        <f t="shared" si="63"/>
        <v>0</v>
      </c>
      <c r="Y35" s="138">
        <f t="shared" si="6"/>
        <v>0</v>
      </c>
      <c r="Z35" s="289" t="e">
        <f t="shared" si="7"/>
        <v>#DIV/0!</v>
      </c>
      <c r="AA35" s="548"/>
      <c r="AB35" s="76"/>
      <c r="AC35" s="76"/>
      <c r="AD35" s="76"/>
      <c r="AE35" s="76"/>
      <c r="AF35" s="76"/>
      <c r="AG35" s="76"/>
    </row>
    <row r="36" spans="1:33" ht="30" customHeight="1">
      <c r="A36" s="115" t="s">
        <v>51</v>
      </c>
      <c r="B36" s="161" t="s">
        <v>295</v>
      </c>
      <c r="C36" s="126" t="s">
        <v>296</v>
      </c>
      <c r="D36" s="117" t="s">
        <v>53</v>
      </c>
      <c r="E36" s="118"/>
      <c r="F36" s="119"/>
      <c r="G36" s="120">
        <f t="shared" ref="G36:G38" si="64">E36*F36</f>
        <v>0</v>
      </c>
      <c r="H36" s="118"/>
      <c r="I36" s="119"/>
      <c r="J36" s="120">
        <f t="shared" ref="J36:J38" si="65">H36*I36</f>
        <v>0</v>
      </c>
      <c r="K36" s="118"/>
      <c r="L36" s="119"/>
      <c r="M36" s="120">
        <f t="shared" ref="M36:M38" si="66">K36*L36</f>
        <v>0</v>
      </c>
      <c r="N36" s="118"/>
      <c r="O36" s="119"/>
      <c r="P36" s="120">
        <f t="shared" ref="P36:P38" si="67">N36*O36</f>
        <v>0</v>
      </c>
      <c r="Q36" s="118"/>
      <c r="R36" s="119"/>
      <c r="S36" s="120">
        <f t="shared" ref="S36:S38" si="68">Q36*R36</f>
        <v>0</v>
      </c>
      <c r="T36" s="118"/>
      <c r="U36" s="119"/>
      <c r="V36" s="120">
        <f t="shared" ref="V36:V38" si="69">T36*U36</f>
        <v>0</v>
      </c>
      <c r="W36" s="121">
        <f t="shared" ref="W36:W38" si="70">G36+M36+S36</f>
        <v>0</v>
      </c>
      <c r="X36" s="122">
        <f t="shared" ref="X36:X38" si="71">J36+P36+V36</f>
        <v>0</v>
      </c>
      <c r="Y36" s="122">
        <f t="shared" si="6"/>
        <v>0</v>
      </c>
      <c r="Z36" s="554" t="e">
        <f t="shared" si="7"/>
        <v>#DIV/0!</v>
      </c>
      <c r="AA36" s="549"/>
      <c r="AB36" s="76"/>
      <c r="AC36" s="76"/>
      <c r="AD36" s="76"/>
      <c r="AE36" s="76"/>
      <c r="AF36" s="76"/>
      <c r="AG36" s="76"/>
    </row>
    <row r="37" spans="1:33" ht="30" customHeight="1">
      <c r="A37" s="115" t="s">
        <v>51</v>
      </c>
      <c r="B37" s="116" t="s">
        <v>297</v>
      </c>
      <c r="C37" s="126" t="s">
        <v>296</v>
      </c>
      <c r="D37" s="117" t="s">
        <v>53</v>
      </c>
      <c r="E37" s="118"/>
      <c r="F37" s="119"/>
      <c r="G37" s="120">
        <f t="shared" si="64"/>
        <v>0</v>
      </c>
      <c r="H37" s="118"/>
      <c r="I37" s="119"/>
      <c r="J37" s="120">
        <f t="shared" si="65"/>
        <v>0</v>
      </c>
      <c r="K37" s="118"/>
      <c r="L37" s="119"/>
      <c r="M37" s="120">
        <f t="shared" si="66"/>
        <v>0</v>
      </c>
      <c r="N37" s="118"/>
      <c r="O37" s="119"/>
      <c r="P37" s="120">
        <f t="shared" si="67"/>
        <v>0</v>
      </c>
      <c r="Q37" s="118"/>
      <c r="R37" s="119"/>
      <c r="S37" s="120">
        <f t="shared" si="68"/>
        <v>0</v>
      </c>
      <c r="T37" s="118"/>
      <c r="U37" s="119"/>
      <c r="V37" s="120">
        <f t="shared" si="69"/>
        <v>0</v>
      </c>
      <c r="W37" s="121">
        <f t="shared" si="70"/>
        <v>0</v>
      </c>
      <c r="X37" s="122">
        <f t="shared" si="71"/>
        <v>0</v>
      </c>
      <c r="Y37" s="122">
        <f t="shared" si="6"/>
        <v>0</v>
      </c>
      <c r="Z37" s="554" t="e">
        <f t="shared" si="7"/>
        <v>#DIV/0!</v>
      </c>
      <c r="AA37" s="549"/>
      <c r="AB37" s="76"/>
      <c r="AC37" s="76"/>
      <c r="AD37" s="76"/>
      <c r="AE37" s="76"/>
      <c r="AF37" s="76"/>
      <c r="AG37" s="76"/>
    </row>
    <row r="38" spans="1:33" ht="30" customHeight="1" thickBot="1">
      <c r="A38" s="127" t="s">
        <v>51</v>
      </c>
      <c r="B38" s="128" t="s">
        <v>298</v>
      </c>
      <c r="C38" s="169" t="s">
        <v>296</v>
      </c>
      <c r="D38" s="129" t="s">
        <v>53</v>
      </c>
      <c r="E38" s="130"/>
      <c r="F38" s="131"/>
      <c r="G38" s="132">
        <f t="shared" si="64"/>
        <v>0</v>
      </c>
      <c r="H38" s="118"/>
      <c r="I38" s="131"/>
      <c r="J38" s="132">
        <f t="shared" si="65"/>
        <v>0</v>
      </c>
      <c r="K38" s="142"/>
      <c r="L38" s="143"/>
      <c r="M38" s="144">
        <f t="shared" si="66"/>
        <v>0</v>
      </c>
      <c r="N38" s="142"/>
      <c r="O38" s="143"/>
      <c r="P38" s="144">
        <f t="shared" si="67"/>
        <v>0</v>
      </c>
      <c r="Q38" s="142"/>
      <c r="R38" s="143"/>
      <c r="S38" s="144">
        <f t="shared" si="68"/>
        <v>0</v>
      </c>
      <c r="T38" s="142"/>
      <c r="U38" s="143"/>
      <c r="V38" s="144">
        <f t="shared" si="69"/>
        <v>0</v>
      </c>
      <c r="W38" s="133">
        <f t="shared" si="70"/>
        <v>0</v>
      </c>
      <c r="X38" s="122">
        <f t="shared" si="71"/>
        <v>0</v>
      </c>
      <c r="Y38" s="151">
        <f t="shared" si="6"/>
        <v>0</v>
      </c>
      <c r="Z38" s="554" t="e">
        <f t="shared" si="7"/>
        <v>#DIV/0!</v>
      </c>
      <c r="AA38" s="549"/>
      <c r="AB38" s="76"/>
      <c r="AC38" s="76"/>
      <c r="AD38" s="76"/>
      <c r="AE38" s="76"/>
      <c r="AF38" s="76"/>
      <c r="AG38" s="76"/>
    </row>
    <row r="39" spans="1:33" ht="30" customHeight="1" thickBot="1">
      <c r="A39" s="399" t="s">
        <v>633</v>
      </c>
      <c r="B39" s="171"/>
      <c r="C39" s="172"/>
      <c r="D39" s="173"/>
      <c r="E39" s="174"/>
      <c r="F39" s="175"/>
      <c r="G39" s="176">
        <f>G13+G17+G21+G31+G35</f>
        <v>341356</v>
      </c>
      <c r="H39" s="175"/>
      <c r="I39" s="175"/>
      <c r="J39" s="176">
        <f>J13+J17+J21+J31+J35</f>
        <v>341356</v>
      </c>
      <c r="K39" s="174"/>
      <c r="L39" s="177"/>
      <c r="M39" s="176">
        <f>M13+M17+M21+M31+M35</f>
        <v>0</v>
      </c>
      <c r="N39" s="174"/>
      <c r="O39" s="177"/>
      <c r="P39" s="176">
        <f>P13+P17+P21+P31+P35</f>
        <v>0</v>
      </c>
      <c r="Q39" s="174"/>
      <c r="R39" s="177"/>
      <c r="S39" s="176">
        <f>S13+S17+S21+S31+S35</f>
        <v>0</v>
      </c>
      <c r="T39" s="174"/>
      <c r="U39" s="177"/>
      <c r="V39" s="176">
        <f t="shared" ref="V39:X39" si="72">V13+V17+V21+V31+V35</f>
        <v>0</v>
      </c>
      <c r="W39" s="176">
        <f t="shared" si="72"/>
        <v>341356</v>
      </c>
      <c r="X39" s="178">
        <f t="shared" si="72"/>
        <v>341356</v>
      </c>
      <c r="Y39" s="179">
        <f t="shared" si="6"/>
        <v>0</v>
      </c>
      <c r="Z39" s="257">
        <f t="shared" si="7"/>
        <v>0</v>
      </c>
      <c r="AA39" s="577"/>
      <c r="AB39" s="105"/>
      <c r="AC39" s="76"/>
      <c r="AD39" s="76"/>
      <c r="AE39" s="76"/>
      <c r="AF39" s="76"/>
      <c r="AG39" s="76"/>
    </row>
    <row r="40" spans="1:33" ht="30" customHeight="1" thickBot="1">
      <c r="A40" s="180" t="s">
        <v>49</v>
      </c>
      <c r="B40" s="181">
        <v>2</v>
      </c>
      <c r="C40" s="182" t="s">
        <v>71</v>
      </c>
      <c r="D40" s="183"/>
      <c r="E40" s="103"/>
      <c r="F40" s="103"/>
      <c r="G40" s="103"/>
      <c r="H40" s="103"/>
      <c r="I40" s="103"/>
      <c r="J40" s="103"/>
      <c r="K40" s="103"/>
      <c r="L40" s="103"/>
      <c r="M40" s="103"/>
      <c r="N40" s="103"/>
      <c r="O40" s="103"/>
      <c r="P40" s="103"/>
      <c r="Q40" s="103"/>
      <c r="R40" s="103"/>
      <c r="S40" s="103"/>
      <c r="T40" s="103"/>
      <c r="U40" s="103"/>
      <c r="V40" s="103"/>
      <c r="W40" s="104"/>
      <c r="X40" s="104"/>
      <c r="Y40" s="184"/>
      <c r="Z40" s="104"/>
      <c r="AA40" s="578"/>
      <c r="AB40" s="76"/>
      <c r="AC40" s="76"/>
      <c r="AD40" s="76"/>
      <c r="AE40" s="76"/>
      <c r="AF40" s="76"/>
      <c r="AG40" s="76"/>
    </row>
    <row r="41" spans="1:33" ht="30" customHeight="1">
      <c r="A41" s="106" t="s">
        <v>50</v>
      </c>
      <c r="B41" s="168" t="s">
        <v>299</v>
      </c>
      <c r="C41" s="108" t="s">
        <v>72</v>
      </c>
      <c r="D41" s="109"/>
      <c r="E41" s="110">
        <f>SUM(E42:E44)</f>
        <v>0</v>
      </c>
      <c r="F41" s="111"/>
      <c r="G41" s="112">
        <f t="shared" ref="G41:H41" si="73">SUM(G42:G44)</f>
        <v>0</v>
      </c>
      <c r="H41" s="110">
        <f t="shared" si="73"/>
        <v>0</v>
      </c>
      <c r="I41" s="111"/>
      <c r="J41" s="112">
        <f t="shared" ref="J41:K41" si="74">SUM(J42:J44)</f>
        <v>0</v>
      </c>
      <c r="K41" s="110">
        <f t="shared" si="74"/>
        <v>0</v>
      </c>
      <c r="L41" s="111"/>
      <c r="M41" s="112">
        <f t="shared" ref="M41:N41" si="75">SUM(M42:M44)</f>
        <v>0</v>
      </c>
      <c r="N41" s="110">
        <f t="shared" si="75"/>
        <v>0</v>
      </c>
      <c r="O41" s="111"/>
      <c r="P41" s="112">
        <f t="shared" ref="P41:Q41" si="76">SUM(P42:P44)</f>
        <v>0</v>
      </c>
      <c r="Q41" s="110">
        <f t="shared" si="76"/>
        <v>0</v>
      </c>
      <c r="R41" s="111"/>
      <c r="S41" s="112">
        <f t="shared" ref="S41:T41" si="77">SUM(S42:S44)</f>
        <v>0</v>
      </c>
      <c r="T41" s="110">
        <f t="shared" si="77"/>
        <v>0</v>
      </c>
      <c r="U41" s="111"/>
      <c r="V41" s="112">
        <f t="shared" ref="V41:X41" si="78">SUM(V42:V44)</f>
        <v>0</v>
      </c>
      <c r="W41" s="112">
        <f t="shared" si="78"/>
        <v>0</v>
      </c>
      <c r="X41" s="158">
        <f t="shared" si="78"/>
        <v>0</v>
      </c>
      <c r="Y41" s="137">
        <f t="shared" ref="Y41:Y53" si="79">W41-X41</f>
        <v>0</v>
      </c>
      <c r="Z41" s="585" t="e">
        <f t="shared" ref="Z41:Z53" si="80">Y41/W41</f>
        <v>#DIV/0!</v>
      </c>
      <c r="AA41" s="548"/>
      <c r="AB41" s="185"/>
      <c r="AC41" s="114"/>
      <c r="AD41" s="114"/>
      <c r="AE41" s="114"/>
      <c r="AF41" s="114"/>
      <c r="AG41" s="114"/>
    </row>
    <row r="42" spans="1:33" ht="44.25" customHeight="1">
      <c r="A42" s="115" t="s">
        <v>51</v>
      </c>
      <c r="B42" s="116" t="s">
        <v>300</v>
      </c>
      <c r="C42" s="126" t="s">
        <v>301</v>
      </c>
      <c r="D42" s="117" t="s">
        <v>73</v>
      </c>
      <c r="E42" s="118"/>
      <c r="F42" s="119"/>
      <c r="G42" s="120">
        <f t="shared" ref="G42:G44" si="81">E42*F42</f>
        <v>0</v>
      </c>
      <c r="H42" s="118"/>
      <c r="I42" s="119"/>
      <c r="J42" s="120">
        <f t="shared" ref="J42:J44" si="82">H42*I42</f>
        <v>0</v>
      </c>
      <c r="K42" s="118"/>
      <c r="L42" s="119"/>
      <c r="M42" s="120">
        <f t="shared" ref="M42:M44" si="83">K42*L42</f>
        <v>0</v>
      </c>
      <c r="N42" s="118"/>
      <c r="O42" s="119"/>
      <c r="P42" s="120">
        <f t="shared" ref="P42:P44" si="84">N42*O42</f>
        <v>0</v>
      </c>
      <c r="Q42" s="118"/>
      <c r="R42" s="119"/>
      <c r="S42" s="120">
        <f t="shared" ref="S42:S44" si="85">Q42*R42</f>
        <v>0</v>
      </c>
      <c r="T42" s="118"/>
      <c r="U42" s="119"/>
      <c r="V42" s="120">
        <f t="shared" ref="V42:V44" si="86">T42*U42</f>
        <v>0</v>
      </c>
      <c r="W42" s="121">
        <f t="shared" ref="W42:W44" si="87">G42+M42+S42</f>
        <v>0</v>
      </c>
      <c r="X42" s="122">
        <f t="shared" ref="X42:X44" si="88">J42+P42+V42</f>
        <v>0</v>
      </c>
      <c r="Y42" s="122">
        <f t="shared" si="79"/>
        <v>0</v>
      </c>
      <c r="Z42" s="554" t="e">
        <f t="shared" si="80"/>
        <v>#DIV/0!</v>
      </c>
      <c r="AA42" s="549"/>
      <c r="AB42" s="125"/>
      <c r="AC42" s="125"/>
      <c r="AD42" s="125"/>
      <c r="AE42" s="125"/>
      <c r="AF42" s="125"/>
      <c r="AG42" s="125"/>
    </row>
    <row r="43" spans="1:33" ht="46.5" customHeight="1">
      <c r="A43" s="115" t="s">
        <v>51</v>
      </c>
      <c r="B43" s="116" t="s">
        <v>302</v>
      </c>
      <c r="C43" s="126" t="s">
        <v>301</v>
      </c>
      <c r="D43" s="117" t="s">
        <v>73</v>
      </c>
      <c r="E43" s="118"/>
      <c r="F43" s="119"/>
      <c r="G43" s="120">
        <f t="shared" si="81"/>
        <v>0</v>
      </c>
      <c r="H43" s="118"/>
      <c r="I43" s="119"/>
      <c r="J43" s="120">
        <f t="shared" si="82"/>
        <v>0</v>
      </c>
      <c r="K43" s="118"/>
      <c r="L43" s="119"/>
      <c r="M43" s="120">
        <f t="shared" si="83"/>
        <v>0</v>
      </c>
      <c r="N43" s="118"/>
      <c r="O43" s="119"/>
      <c r="P43" s="120">
        <f t="shared" si="84"/>
        <v>0</v>
      </c>
      <c r="Q43" s="118"/>
      <c r="R43" s="119"/>
      <c r="S43" s="120">
        <f t="shared" si="85"/>
        <v>0</v>
      </c>
      <c r="T43" s="118"/>
      <c r="U43" s="119"/>
      <c r="V43" s="120">
        <f t="shared" si="86"/>
        <v>0</v>
      </c>
      <c r="W43" s="121">
        <f t="shared" si="87"/>
        <v>0</v>
      </c>
      <c r="X43" s="122">
        <f t="shared" si="88"/>
        <v>0</v>
      </c>
      <c r="Y43" s="122">
        <f t="shared" si="79"/>
        <v>0</v>
      </c>
      <c r="Z43" s="554" t="e">
        <f t="shared" si="80"/>
        <v>#DIV/0!</v>
      </c>
      <c r="AA43" s="549"/>
      <c r="AB43" s="125"/>
      <c r="AC43" s="125"/>
      <c r="AD43" s="125"/>
      <c r="AE43" s="125"/>
      <c r="AF43" s="125"/>
      <c r="AG43" s="125"/>
    </row>
    <row r="44" spans="1:33" ht="44.25" customHeight="1" thickBot="1">
      <c r="A44" s="140" t="s">
        <v>51</v>
      </c>
      <c r="B44" s="166" t="s">
        <v>303</v>
      </c>
      <c r="C44" s="126" t="s">
        <v>301</v>
      </c>
      <c r="D44" s="141" t="s">
        <v>73</v>
      </c>
      <c r="E44" s="142"/>
      <c r="F44" s="143"/>
      <c r="G44" s="144">
        <f t="shared" si="81"/>
        <v>0</v>
      </c>
      <c r="H44" s="142"/>
      <c r="I44" s="143"/>
      <c r="J44" s="144">
        <f t="shared" si="82"/>
        <v>0</v>
      </c>
      <c r="K44" s="142"/>
      <c r="L44" s="143"/>
      <c r="M44" s="144">
        <f t="shared" si="83"/>
        <v>0</v>
      </c>
      <c r="N44" s="142"/>
      <c r="O44" s="143"/>
      <c r="P44" s="144">
        <f t="shared" si="84"/>
        <v>0</v>
      </c>
      <c r="Q44" s="142"/>
      <c r="R44" s="143"/>
      <c r="S44" s="144">
        <f t="shared" si="85"/>
        <v>0</v>
      </c>
      <c r="T44" s="142"/>
      <c r="U44" s="143"/>
      <c r="V44" s="144">
        <f t="shared" si="86"/>
        <v>0</v>
      </c>
      <c r="W44" s="133">
        <f t="shared" si="87"/>
        <v>0</v>
      </c>
      <c r="X44" s="122">
        <f t="shared" si="88"/>
        <v>0</v>
      </c>
      <c r="Y44" s="122">
        <f t="shared" si="79"/>
        <v>0</v>
      </c>
      <c r="Z44" s="554" t="e">
        <f t="shared" si="80"/>
        <v>#DIV/0!</v>
      </c>
      <c r="AA44" s="549"/>
      <c r="AB44" s="125"/>
      <c r="AC44" s="125"/>
      <c r="AD44" s="125"/>
      <c r="AE44" s="125"/>
      <c r="AF44" s="125"/>
      <c r="AG44" s="125"/>
    </row>
    <row r="45" spans="1:33" ht="30" customHeight="1">
      <c r="A45" s="106" t="s">
        <v>50</v>
      </c>
      <c r="B45" s="168" t="s">
        <v>304</v>
      </c>
      <c r="C45" s="145" t="s">
        <v>74</v>
      </c>
      <c r="D45" s="135"/>
      <c r="E45" s="136">
        <f>SUM(E46:E48)</f>
        <v>0</v>
      </c>
      <c r="F45" s="137"/>
      <c r="G45" s="138">
        <f t="shared" ref="G45:H45" si="89">SUM(G46:G48)</f>
        <v>0</v>
      </c>
      <c r="H45" s="136">
        <f t="shared" si="89"/>
        <v>0</v>
      </c>
      <c r="I45" s="137"/>
      <c r="J45" s="138">
        <f t="shared" ref="J45:K45" si="90">SUM(J46:J48)</f>
        <v>0</v>
      </c>
      <c r="K45" s="136">
        <f t="shared" si="90"/>
        <v>0</v>
      </c>
      <c r="L45" s="137"/>
      <c r="M45" s="138">
        <f t="shared" ref="M45:N45" si="91">SUM(M46:M48)</f>
        <v>0</v>
      </c>
      <c r="N45" s="136">
        <f t="shared" si="91"/>
        <v>0</v>
      </c>
      <c r="O45" s="137"/>
      <c r="P45" s="138">
        <f t="shared" ref="P45:Q45" si="92">SUM(P46:P48)</f>
        <v>0</v>
      </c>
      <c r="Q45" s="136">
        <f t="shared" si="92"/>
        <v>0</v>
      </c>
      <c r="R45" s="137"/>
      <c r="S45" s="138">
        <f t="shared" ref="S45:T45" si="93">SUM(S46:S48)</f>
        <v>0</v>
      </c>
      <c r="T45" s="136">
        <f t="shared" si="93"/>
        <v>0</v>
      </c>
      <c r="U45" s="137"/>
      <c r="V45" s="138">
        <f t="shared" ref="V45:X45" si="94">SUM(V46:V48)</f>
        <v>0</v>
      </c>
      <c r="W45" s="138">
        <f t="shared" si="94"/>
        <v>0</v>
      </c>
      <c r="X45" s="138">
        <f t="shared" si="94"/>
        <v>0</v>
      </c>
      <c r="Y45" s="186">
        <f t="shared" si="79"/>
        <v>0</v>
      </c>
      <c r="Z45" s="586" t="e">
        <f t="shared" si="80"/>
        <v>#DIV/0!</v>
      </c>
      <c r="AA45" s="548"/>
      <c r="AB45" s="114"/>
      <c r="AC45" s="114"/>
      <c r="AD45" s="114"/>
      <c r="AE45" s="114"/>
      <c r="AF45" s="114"/>
      <c r="AG45" s="114"/>
    </row>
    <row r="46" spans="1:33" ht="30" customHeight="1">
      <c r="A46" s="115" t="s">
        <v>51</v>
      </c>
      <c r="B46" s="116" t="s">
        <v>305</v>
      </c>
      <c r="C46" s="126" t="s">
        <v>75</v>
      </c>
      <c r="D46" s="117" t="s">
        <v>76</v>
      </c>
      <c r="E46" s="118"/>
      <c r="F46" s="119"/>
      <c r="G46" s="120">
        <f t="shared" ref="G46:G48" si="95">E46*F46</f>
        <v>0</v>
      </c>
      <c r="H46" s="118"/>
      <c r="I46" s="119"/>
      <c r="J46" s="120">
        <f t="shared" ref="J46:J48" si="96">H46*I46</f>
        <v>0</v>
      </c>
      <c r="K46" s="118"/>
      <c r="L46" s="119"/>
      <c r="M46" s="120">
        <f t="shared" ref="M46:M48" si="97">K46*L46</f>
        <v>0</v>
      </c>
      <c r="N46" s="118"/>
      <c r="O46" s="119"/>
      <c r="P46" s="120">
        <f t="shared" ref="P46:P48" si="98">N46*O46</f>
        <v>0</v>
      </c>
      <c r="Q46" s="118"/>
      <c r="R46" s="119"/>
      <c r="S46" s="120">
        <f t="shared" ref="S46:S48" si="99">Q46*R46</f>
        <v>0</v>
      </c>
      <c r="T46" s="118"/>
      <c r="U46" s="119"/>
      <c r="V46" s="120">
        <f t="shared" ref="V46:V48" si="100">T46*U46</f>
        <v>0</v>
      </c>
      <c r="W46" s="121">
        <f t="shared" ref="W46:W48" si="101">G46+M46+S46</f>
        <v>0</v>
      </c>
      <c r="X46" s="122">
        <f t="shared" ref="X46:X48" si="102">J46+P46+V46</f>
        <v>0</v>
      </c>
      <c r="Y46" s="122">
        <f t="shared" si="79"/>
        <v>0</v>
      </c>
      <c r="Z46" s="554" t="e">
        <f t="shared" si="80"/>
        <v>#DIV/0!</v>
      </c>
      <c r="AA46" s="549"/>
      <c r="AB46" s="125"/>
      <c r="AC46" s="125"/>
      <c r="AD46" s="125"/>
      <c r="AE46" s="125"/>
      <c r="AF46" s="125"/>
      <c r="AG46" s="125"/>
    </row>
    <row r="47" spans="1:33" ht="30" customHeight="1">
      <c r="A47" s="115" t="s">
        <v>51</v>
      </c>
      <c r="B47" s="116" t="s">
        <v>306</v>
      </c>
      <c r="C47" s="187" t="s">
        <v>75</v>
      </c>
      <c r="D47" s="117" t="s">
        <v>76</v>
      </c>
      <c r="E47" s="118"/>
      <c r="F47" s="119"/>
      <c r="G47" s="120">
        <f t="shared" si="95"/>
        <v>0</v>
      </c>
      <c r="H47" s="118"/>
      <c r="I47" s="119"/>
      <c r="J47" s="120">
        <f t="shared" si="96"/>
        <v>0</v>
      </c>
      <c r="K47" s="118"/>
      <c r="L47" s="119"/>
      <c r="M47" s="120">
        <f t="shared" si="97"/>
        <v>0</v>
      </c>
      <c r="N47" s="118"/>
      <c r="O47" s="119"/>
      <c r="P47" s="120">
        <f t="shared" si="98"/>
        <v>0</v>
      </c>
      <c r="Q47" s="118"/>
      <c r="R47" s="119"/>
      <c r="S47" s="120">
        <f t="shared" si="99"/>
        <v>0</v>
      </c>
      <c r="T47" s="118"/>
      <c r="U47" s="119"/>
      <c r="V47" s="120">
        <f t="shared" si="100"/>
        <v>0</v>
      </c>
      <c r="W47" s="121">
        <f t="shared" si="101"/>
        <v>0</v>
      </c>
      <c r="X47" s="122">
        <f t="shared" si="102"/>
        <v>0</v>
      </c>
      <c r="Y47" s="122">
        <f t="shared" si="79"/>
        <v>0</v>
      </c>
      <c r="Z47" s="554" t="e">
        <f t="shared" si="80"/>
        <v>#DIV/0!</v>
      </c>
      <c r="AA47" s="549"/>
      <c r="AB47" s="125"/>
      <c r="AC47" s="125"/>
      <c r="AD47" s="125"/>
      <c r="AE47" s="125"/>
      <c r="AF47" s="125"/>
      <c r="AG47" s="125"/>
    </row>
    <row r="48" spans="1:33" ht="30" customHeight="1" thickBot="1">
      <c r="A48" s="140" t="s">
        <v>51</v>
      </c>
      <c r="B48" s="166" t="s">
        <v>307</v>
      </c>
      <c r="C48" s="188" t="s">
        <v>75</v>
      </c>
      <c r="D48" s="141" t="s">
        <v>76</v>
      </c>
      <c r="E48" s="142"/>
      <c r="F48" s="143"/>
      <c r="G48" s="144">
        <f t="shared" si="95"/>
        <v>0</v>
      </c>
      <c r="H48" s="142"/>
      <c r="I48" s="143"/>
      <c r="J48" s="144">
        <f t="shared" si="96"/>
        <v>0</v>
      </c>
      <c r="K48" s="142"/>
      <c r="L48" s="143"/>
      <c r="M48" s="144">
        <f t="shared" si="97"/>
        <v>0</v>
      </c>
      <c r="N48" s="142"/>
      <c r="O48" s="143"/>
      <c r="P48" s="144">
        <f t="shared" si="98"/>
        <v>0</v>
      </c>
      <c r="Q48" s="142"/>
      <c r="R48" s="143"/>
      <c r="S48" s="144">
        <f t="shared" si="99"/>
        <v>0</v>
      </c>
      <c r="T48" s="142"/>
      <c r="U48" s="143"/>
      <c r="V48" s="144">
        <f t="shared" si="100"/>
        <v>0</v>
      </c>
      <c r="W48" s="133">
        <f t="shared" si="101"/>
        <v>0</v>
      </c>
      <c r="X48" s="122">
        <f t="shared" si="102"/>
        <v>0</v>
      </c>
      <c r="Y48" s="122">
        <f t="shared" si="79"/>
        <v>0</v>
      </c>
      <c r="Z48" s="554" t="e">
        <f t="shared" si="80"/>
        <v>#DIV/0!</v>
      </c>
      <c r="AA48" s="549"/>
      <c r="AB48" s="125"/>
      <c r="AC48" s="125"/>
      <c r="AD48" s="125"/>
      <c r="AE48" s="125"/>
      <c r="AF48" s="125"/>
      <c r="AG48" s="125"/>
    </row>
    <row r="49" spans="1:33" ht="30" customHeight="1">
      <c r="A49" s="106" t="s">
        <v>50</v>
      </c>
      <c r="B49" s="168" t="s">
        <v>308</v>
      </c>
      <c r="C49" s="145" t="s">
        <v>77</v>
      </c>
      <c r="D49" s="135"/>
      <c r="E49" s="136">
        <f>SUM(E50:E52)</f>
        <v>0</v>
      </c>
      <c r="F49" s="137"/>
      <c r="G49" s="138">
        <f t="shared" ref="G49:H49" si="103">SUM(G50:G52)</f>
        <v>0</v>
      </c>
      <c r="H49" s="136">
        <f t="shared" si="103"/>
        <v>0</v>
      </c>
      <c r="I49" s="137"/>
      <c r="J49" s="138">
        <f t="shared" ref="J49:K49" si="104">SUM(J50:J52)</f>
        <v>0</v>
      </c>
      <c r="K49" s="136">
        <f t="shared" si="104"/>
        <v>0</v>
      </c>
      <c r="L49" s="137"/>
      <c r="M49" s="138">
        <f t="shared" ref="M49:N49" si="105">SUM(M50:M52)</f>
        <v>0</v>
      </c>
      <c r="N49" s="136">
        <f t="shared" si="105"/>
        <v>0</v>
      </c>
      <c r="O49" s="137"/>
      <c r="P49" s="138">
        <f t="shared" ref="P49:Q49" si="106">SUM(P50:P52)</f>
        <v>0</v>
      </c>
      <c r="Q49" s="136">
        <f t="shared" si="106"/>
        <v>0</v>
      </c>
      <c r="R49" s="137"/>
      <c r="S49" s="138">
        <f t="shared" ref="S49:T49" si="107">SUM(S50:S52)</f>
        <v>0</v>
      </c>
      <c r="T49" s="136">
        <f t="shared" si="107"/>
        <v>0</v>
      </c>
      <c r="U49" s="137"/>
      <c r="V49" s="138">
        <f t="shared" ref="V49:X49" si="108">SUM(V50:V52)</f>
        <v>0</v>
      </c>
      <c r="W49" s="138">
        <f t="shared" si="108"/>
        <v>0</v>
      </c>
      <c r="X49" s="138">
        <f t="shared" si="108"/>
        <v>0</v>
      </c>
      <c r="Y49" s="137">
        <f t="shared" si="79"/>
        <v>0</v>
      </c>
      <c r="Z49" s="289" t="e">
        <f t="shared" si="80"/>
        <v>#DIV/0!</v>
      </c>
      <c r="AA49" s="548"/>
      <c r="AB49" s="114"/>
      <c r="AC49" s="114"/>
      <c r="AD49" s="114"/>
      <c r="AE49" s="114"/>
      <c r="AF49" s="114"/>
      <c r="AG49" s="114"/>
    </row>
    <row r="50" spans="1:33" ht="30" customHeight="1">
      <c r="A50" s="115" t="s">
        <v>51</v>
      </c>
      <c r="B50" s="116" t="s">
        <v>309</v>
      </c>
      <c r="C50" s="126" t="s">
        <v>78</v>
      </c>
      <c r="D50" s="117" t="s">
        <v>76</v>
      </c>
      <c r="E50" s="118"/>
      <c r="F50" s="119"/>
      <c r="G50" s="120">
        <f t="shared" ref="G50:G52" si="109">E50*F50</f>
        <v>0</v>
      </c>
      <c r="H50" s="118"/>
      <c r="I50" s="119"/>
      <c r="J50" s="120">
        <f t="shared" ref="J50:J52" si="110">H50*I50</f>
        <v>0</v>
      </c>
      <c r="K50" s="118"/>
      <c r="L50" s="119"/>
      <c r="M50" s="120">
        <f t="shared" ref="M50:M52" si="111">K50*L50</f>
        <v>0</v>
      </c>
      <c r="N50" s="118"/>
      <c r="O50" s="119"/>
      <c r="P50" s="120">
        <f t="shared" ref="P50:P52" si="112">N50*O50</f>
        <v>0</v>
      </c>
      <c r="Q50" s="118"/>
      <c r="R50" s="119"/>
      <c r="S50" s="120">
        <f t="shared" ref="S50:S52" si="113">Q50*R50</f>
        <v>0</v>
      </c>
      <c r="T50" s="118"/>
      <c r="U50" s="119"/>
      <c r="V50" s="120">
        <f t="shared" ref="V50:V52" si="114">T50*U50</f>
        <v>0</v>
      </c>
      <c r="W50" s="121">
        <f t="shared" ref="W50:W52" si="115">G50+M50+S50</f>
        <v>0</v>
      </c>
      <c r="X50" s="122">
        <f t="shared" ref="X50:X52" si="116">J50+P50+V50</f>
        <v>0</v>
      </c>
      <c r="Y50" s="122">
        <f t="shared" si="79"/>
        <v>0</v>
      </c>
      <c r="Z50" s="554" t="e">
        <f t="shared" si="80"/>
        <v>#DIV/0!</v>
      </c>
      <c r="AA50" s="549"/>
      <c r="AB50" s="124"/>
      <c r="AC50" s="125"/>
      <c r="AD50" s="125"/>
      <c r="AE50" s="125"/>
      <c r="AF50" s="125"/>
      <c r="AG50" s="125"/>
    </row>
    <row r="51" spans="1:33" ht="30" customHeight="1">
      <c r="A51" s="115" t="s">
        <v>51</v>
      </c>
      <c r="B51" s="116" t="s">
        <v>310</v>
      </c>
      <c r="C51" s="126" t="s">
        <v>79</v>
      </c>
      <c r="D51" s="117" t="s">
        <v>76</v>
      </c>
      <c r="E51" s="118"/>
      <c r="F51" s="119"/>
      <c r="G51" s="120">
        <f t="shared" si="109"/>
        <v>0</v>
      </c>
      <c r="H51" s="118"/>
      <c r="I51" s="119"/>
      <c r="J51" s="120">
        <f t="shared" si="110"/>
        <v>0</v>
      </c>
      <c r="K51" s="118"/>
      <c r="L51" s="119"/>
      <c r="M51" s="120">
        <f t="shared" si="111"/>
        <v>0</v>
      </c>
      <c r="N51" s="118"/>
      <c r="O51" s="119"/>
      <c r="P51" s="120">
        <f t="shared" si="112"/>
        <v>0</v>
      </c>
      <c r="Q51" s="118"/>
      <c r="R51" s="119"/>
      <c r="S51" s="120">
        <f t="shared" si="113"/>
        <v>0</v>
      </c>
      <c r="T51" s="118"/>
      <c r="U51" s="119"/>
      <c r="V51" s="120">
        <f t="shared" si="114"/>
        <v>0</v>
      </c>
      <c r="W51" s="121">
        <f t="shared" si="115"/>
        <v>0</v>
      </c>
      <c r="X51" s="122">
        <f t="shared" si="116"/>
        <v>0</v>
      </c>
      <c r="Y51" s="122">
        <f t="shared" si="79"/>
        <v>0</v>
      </c>
      <c r="Z51" s="554" t="e">
        <f t="shared" si="80"/>
        <v>#DIV/0!</v>
      </c>
      <c r="AA51" s="549"/>
      <c r="AB51" s="125"/>
      <c r="AC51" s="125"/>
      <c r="AD51" s="125"/>
      <c r="AE51" s="125"/>
      <c r="AF51" s="125"/>
      <c r="AG51" s="125"/>
    </row>
    <row r="52" spans="1:33" ht="30" customHeight="1" thickBot="1">
      <c r="A52" s="127" t="s">
        <v>51</v>
      </c>
      <c r="B52" s="128" t="s">
        <v>311</v>
      </c>
      <c r="C52" s="169" t="s">
        <v>78</v>
      </c>
      <c r="D52" s="129" t="s">
        <v>76</v>
      </c>
      <c r="E52" s="142"/>
      <c r="F52" s="143"/>
      <c r="G52" s="144">
        <f t="shared" si="109"/>
        <v>0</v>
      </c>
      <c r="H52" s="142"/>
      <c r="I52" s="143"/>
      <c r="J52" s="144">
        <f t="shared" si="110"/>
        <v>0</v>
      </c>
      <c r="K52" s="142"/>
      <c r="L52" s="143"/>
      <c r="M52" s="144">
        <f t="shared" si="111"/>
        <v>0</v>
      </c>
      <c r="N52" s="142"/>
      <c r="O52" s="143"/>
      <c r="P52" s="144">
        <f t="shared" si="112"/>
        <v>0</v>
      </c>
      <c r="Q52" s="142"/>
      <c r="R52" s="143"/>
      <c r="S52" s="144">
        <f t="shared" si="113"/>
        <v>0</v>
      </c>
      <c r="T52" s="142"/>
      <c r="U52" s="143"/>
      <c r="V52" s="144">
        <f t="shared" si="114"/>
        <v>0</v>
      </c>
      <c r="W52" s="133">
        <f t="shared" si="115"/>
        <v>0</v>
      </c>
      <c r="X52" s="122">
        <f t="shared" si="116"/>
        <v>0</v>
      </c>
      <c r="Y52" s="122">
        <f t="shared" si="79"/>
        <v>0</v>
      </c>
      <c r="Z52" s="554" t="e">
        <f t="shared" si="80"/>
        <v>#DIV/0!</v>
      </c>
      <c r="AA52" s="549"/>
      <c r="AB52" s="125"/>
      <c r="AC52" s="125"/>
      <c r="AD52" s="125"/>
      <c r="AE52" s="125"/>
      <c r="AF52" s="125"/>
      <c r="AG52" s="125"/>
    </row>
    <row r="53" spans="1:33" ht="30" customHeight="1" thickBot="1">
      <c r="A53" s="170" t="s">
        <v>80</v>
      </c>
      <c r="B53" s="171"/>
      <c r="C53" s="172"/>
      <c r="D53" s="173"/>
      <c r="E53" s="177">
        <f>E49+E45+E41</f>
        <v>0</v>
      </c>
      <c r="F53" s="189"/>
      <c r="G53" s="176">
        <f t="shared" ref="G53:H53" si="117">G49+G45+G41</f>
        <v>0</v>
      </c>
      <c r="H53" s="177">
        <f t="shared" si="117"/>
        <v>0</v>
      </c>
      <c r="I53" s="189"/>
      <c r="J53" s="176">
        <f t="shared" ref="J53:K53" si="118">J49+J45+J41</f>
        <v>0</v>
      </c>
      <c r="K53" s="190">
        <f t="shared" si="118"/>
        <v>0</v>
      </c>
      <c r="L53" s="189"/>
      <c r="M53" s="176">
        <f t="shared" ref="M53:N53" si="119">M49+M45+M41</f>
        <v>0</v>
      </c>
      <c r="N53" s="190">
        <f t="shared" si="119"/>
        <v>0</v>
      </c>
      <c r="O53" s="189"/>
      <c r="P53" s="176">
        <f t="shared" ref="P53:Q53" si="120">P49+P45+P41</f>
        <v>0</v>
      </c>
      <c r="Q53" s="190">
        <f t="shared" si="120"/>
        <v>0</v>
      </c>
      <c r="R53" s="189"/>
      <c r="S53" s="176">
        <f t="shared" ref="S53:T53" si="121">S49+S45+S41</f>
        <v>0</v>
      </c>
      <c r="T53" s="190">
        <f t="shared" si="121"/>
        <v>0</v>
      </c>
      <c r="U53" s="189"/>
      <c r="V53" s="176">
        <f t="shared" ref="V53:X53" si="122">V49+V45+V41</f>
        <v>0</v>
      </c>
      <c r="W53" s="191">
        <f t="shared" si="122"/>
        <v>0</v>
      </c>
      <c r="X53" s="191">
        <f t="shared" si="122"/>
        <v>0</v>
      </c>
      <c r="Y53" s="191">
        <f t="shared" si="79"/>
        <v>0</v>
      </c>
      <c r="Z53" s="587" t="e">
        <f t="shared" si="80"/>
        <v>#DIV/0!</v>
      </c>
      <c r="AA53" s="577"/>
      <c r="AB53" s="76"/>
      <c r="AC53" s="76"/>
      <c r="AD53" s="76"/>
      <c r="AE53" s="76"/>
      <c r="AF53" s="76"/>
      <c r="AG53" s="76"/>
    </row>
    <row r="54" spans="1:33" ht="30" customHeight="1" thickBot="1">
      <c r="A54" s="180" t="s">
        <v>49</v>
      </c>
      <c r="B54" s="181">
        <v>3</v>
      </c>
      <c r="C54" s="182" t="s">
        <v>81</v>
      </c>
      <c r="D54" s="183"/>
      <c r="E54" s="103"/>
      <c r="F54" s="103"/>
      <c r="G54" s="103"/>
      <c r="H54" s="103"/>
      <c r="I54" s="103"/>
      <c r="J54" s="103"/>
      <c r="K54" s="103"/>
      <c r="L54" s="103"/>
      <c r="M54" s="103"/>
      <c r="N54" s="103"/>
      <c r="O54" s="103"/>
      <c r="P54" s="103"/>
      <c r="Q54" s="103"/>
      <c r="R54" s="103"/>
      <c r="S54" s="103"/>
      <c r="T54" s="103"/>
      <c r="U54" s="103"/>
      <c r="V54" s="103"/>
      <c r="W54" s="104"/>
      <c r="X54" s="104"/>
      <c r="Y54" s="104"/>
      <c r="Z54" s="104"/>
      <c r="AA54" s="578"/>
      <c r="AB54" s="76"/>
      <c r="AC54" s="76"/>
      <c r="AD54" s="76"/>
      <c r="AE54" s="76"/>
      <c r="AF54" s="76"/>
      <c r="AG54" s="76"/>
    </row>
    <row r="55" spans="1:33" ht="58.5" customHeight="1">
      <c r="A55" s="106" t="s">
        <v>50</v>
      </c>
      <c r="B55" s="168" t="s">
        <v>312</v>
      </c>
      <c r="C55" s="108" t="s">
        <v>82</v>
      </c>
      <c r="D55" s="109"/>
      <c r="E55" s="110">
        <f>SUM(E56:E58)</f>
        <v>0</v>
      </c>
      <c r="F55" s="111"/>
      <c r="G55" s="112">
        <f t="shared" ref="G55:H55" si="123">SUM(G56:G58)</f>
        <v>0</v>
      </c>
      <c r="H55" s="110">
        <f t="shared" si="123"/>
        <v>0</v>
      </c>
      <c r="I55" s="111"/>
      <c r="J55" s="112">
        <f t="shared" ref="J55:K55" si="124">SUM(J56:J58)</f>
        <v>0</v>
      </c>
      <c r="K55" s="110">
        <f t="shared" si="124"/>
        <v>0</v>
      </c>
      <c r="L55" s="111"/>
      <c r="M55" s="112">
        <f t="shared" ref="M55:N55" si="125">SUM(M56:M58)</f>
        <v>0</v>
      </c>
      <c r="N55" s="110">
        <f t="shared" si="125"/>
        <v>0</v>
      </c>
      <c r="O55" s="111"/>
      <c r="P55" s="112">
        <f t="shared" ref="P55:Q55" si="126">SUM(P56:P58)</f>
        <v>0</v>
      </c>
      <c r="Q55" s="110">
        <f t="shared" si="126"/>
        <v>0</v>
      </c>
      <c r="R55" s="111"/>
      <c r="S55" s="112">
        <f t="shared" ref="S55:T55" si="127">SUM(S56:S58)</f>
        <v>0</v>
      </c>
      <c r="T55" s="110">
        <f t="shared" si="127"/>
        <v>0</v>
      </c>
      <c r="U55" s="111"/>
      <c r="V55" s="112">
        <f t="shared" ref="V55:X55" si="128">SUM(V56:V58)</f>
        <v>0</v>
      </c>
      <c r="W55" s="112">
        <f t="shared" si="128"/>
        <v>0</v>
      </c>
      <c r="X55" s="112">
        <f t="shared" si="128"/>
        <v>0</v>
      </c>
      <c r="Y55" s="113">
        <f t="shared" ref="Y55:Y62" si="129">W55-X55</f>
        <v>0</v>
      </c>
      <c r="Z55" s="582" t="e">
        <f t="shared" ref="Z55:Z62" si="130">Y55/W55</f>
        <v>#DIV/0!</v>
      </c>
      <c r="AA55" s="548"/>
      <c r="AB55" s="114"/>
      <c r="AC55" s="114"/>
      <c r="AD55" s="114"/>
      <c r="AE55" s="114"/>
      <c r="AF55" s="114"/>
      <c r="AG55" s="114"/>
    </row>
    <row r="56" spans="1:33" ht="36" customHeight="1">
      <c r="A56" s="115" t="s">
        <v>51</v>
      </c>
      <c r="B56" s="116" t="s">
        <v>634</v>
      </c>
      <c r="C56" s="187" t="s">
        <v>635</v>
      </c>
      <c r="D56" s="117" t="s">
        <v>73</v>
      </c>
      <c r="E56" s="118"/>
      <c r="F56" s="119"/>
      <c r="G56" s="120">
        <f t="shared" ref="G56:G58" si="131">E56*F56</f>
        <v>0</v>
      </c>
      <c r="H56" s="118"/>
      <c r="I56" s="119"/>
      <c r="J56" s="120">
        <f t="shared" ref="J56:J58" si="132">H56*I56</f>
        <v>0</v>
      </c>
      <c r="K56" s="118"/>
      <c r="L56" s="119"/>
      <c r="M56" s="120">
        <f t="shared" ref="M56:M58" si="133">K56*L56</f>
        <v>0</v>
      </c>
      <c r="N56" s="118"/>
      <c r="O56" s="119"/>
      <c r="P56" s="120">
        <f t="shared" ref="P56:P58" si="134">N56*O56</f>
        <v>0</v>
      </c>
      <c r="Q56" s="118"/>
      <c r="R56" s="119"/>
      <c r="S56" s="120">
        <f t="shared" ref="S56:S58" si="135">Q56*R56</f>
        <v>0</v>
      </c>
      <c r="T56" s="118"/>
      <c r="U56" s="119"/>
      <c r="V56" s="120">
        <f t="shared" ref="V56:V58" si="136">T56*U56</f>
        <v>0</v>
      </c>
      <c r="W56" s="121">
        <f t="shared" ref="W56:W58" si="137">G56+M56+S56</f>
        <v>0</v>
      </c>
      <c r="X56" s="122">
        <f t="shared" ref="X56:X58" si="138">J56+P56+V56</f>
        <v>0</v>
      </c>
      <c r="Y56" s="122">
        <f t="shared" si="129"/>
        <v>0</v>
      </c>
      <c r="Z56" s="554" t="e">
        <f t="shared" si="130"/>
        <v>#DIV/0!</v>
      </c>
      <c r="AA56" s="549"/>
      <c r="AB56" s="125"/>
      <c r="AC56" s="125"/>
      <c r="AD56" s="125"/>
      <c r="AE56" s="125"/>
      <c r="AF56" s="125"/>
      <c r="AG56" s="125"/>
    </row>
    <row r="57" spans="1:33" ht="36" customHeight="1">
      <c r="A57" s="115" t="s">
        <v>51</v>
      </c>
      <c r="B57" s="116" t="s">
        <v>636</v>
      </c>
      <c r="C57" s="187" t="s">
        <v>109</v>
      </c>
      <c r="D57" s="117" t="s">
        <v>73</v>
      </c>
      <c r="E57" s="118"/>
      <c r="F57" s="119"/>
      <c r="G57" s="120">
        <f t="shared" si="131"/>
        <v>0</v>
      </c>
      <c r="H57" s="118"/>
      <c r="I57" s="119"/>
      <c r="J57" s="120">
        <f t="shared" si="132"/>
        <v>0</v>
      </c>
      <c r="K57" s="118"/>
      <c r="L57" s="119"/>
      <c r="M57" s="120">
        <f t="shared" si="133"/>
        <v>0</v>
      </c>
      <c r="N57" s="118"/>
      <c r="O57" s="119"/>
      <c r="P57" s="120">
        <f t="shared" si="134"/>
        <v>0</v>
      </c>
      <c r="Q57" s="118"/>
      <c r="R57" s="119"/>
      <c r="S57" s="120">
        <f t="shared" si="135"/>
        <v>0</v>
      </c>
      <c r="T57" s="118"/>
      <c r="U57" s="119"/>
      <c r="V57" s="120">
        <f t="shared" si="136"/>
        <v>0</v>
      </c>
      <c r="W57" s="121">
        <f t="shared" si="137"/>
        <v>0</v>
      </c>
      <c r="X57" s="122">
        <f t="shared" si="138"/>
        <v>0</v>
      </c>
      <c r="Y57" s="122">
        <f t="shared" si="129"/>
        <v>0</v>
      </c>
      <c r="Z57" s="554" t="e">
        <f t="shared" si="130"/>
        <v>#DIV/0!</v>
      </c>
      <c r="AA57" s="549"/>
      <c r="AB57" s="125"/>
      <c r="AC57" s="125"/>
      <c r="AD57" s="125"/>
      <c r="AE57" s="125"/>
      <c r="AF57" s="125"/>
      <c r="AG57" s="125"/>
    </row>
    <row r="58" spans="1:33" ht="40.5" customHeight="1" thickBot="1">
      <c r="A58" s="127" t="s">
        <v>51</v>
      </c>
      <c r="B58" s="128" t="s">
        <v>637</v>
      </c>
      <c r="C58" s="167" t="s">
        <v>638</v>
      </c>
      <c r="D58" s="129" t="s">
        <v>73</v>
      </c>
      <c r="E58" s="130"/>
      <c r="F58" s="131"/>
      <c r="G58" s="132">
        <f t="shared" si="131"/>
        <v>0</v>
      </c>
      <c r="H58" s="130"/>
      <c r="I58" s="131"/>
      <c r="J58" s="132">
        <f t="shared" si="132"/>
        <v>0</v>
      </c>
      <c r="K58" s="130"/>
      <c r="L58" s="131"/>
      <c r="M58" s="132">
        <f t="shared" si="133"/>
        <v>0</v>
      </c>
      <c r="N58" s="130"/>
      <c r="O58" s="131"/>
      <c r="P58" s="132">
        <f t="shared" si="134"/>
        <v>0</v>
      </c>
      <c r="Q58" s="130"/>
      <c r="R58" s="131"/>
      <c r="S58" s="132">
        <f t="shared" si="135"/>
        <v>0</v>
      </c>
      <c r="T58" s="130"/>
      <c r="U58" s="131"/>
      <c r="V58" s="132">
        <f t="shared" si="136"/>
        <v>0</v>
      </c>
      <c r="W58" s="133">
        <f t="shared" si="137"/>
        <v>0</v>
      </c>
      <c r="X58" s="122">
        <f t="shared" si="138"/>
        <v>0</v>
      </c>
      <c r="Y58" s="122">
        <f t="shared" si="129"/>
        <v>0</v>
      </c>
      <c r="Z58" s="554" t="e">
        <f t="shared" si="130"/>
        <v>#DIV/0!</v>
      </c>
      <c r="AA58" s="549"/>
      <c r="AB58" s="125"/>
      <c r="AC58" s="125"/>
      <c r="AD58" s="125"/>
      <c r="AE58" s="125"/>
      <c r="AF58" s="125"/>
      <c r="AG58" s="125"/>
    </row>
    <row r="59" spans="1:33" ht="73.5" customHeight="1">
      <c r="A59" s="106" t="s">
        <v>50</v>
      </c>
      <c r="B59" s="168" t="s">
        <v>639</v>
      </c>
      <c r="C59" s="134" t="s">
        <v>83</v>
      </c>
      <c r="D59" s="135"/>
      <c r="E59" s="136"/>
      <c r="F59" s="137"/>
      <c r="G59" s="138"/>
      <c r="H59" s="136"/>
      <c r="I59" s="137"/>
      <c r="J59" s="138"/>
      <c r="K59" s="136">
        <f>SUM(K60:K61)</f>
        <v>0</v>
      </c>
      <c r="L59" s="137"/>
      <c r="M59" s="138">
        <f t="shared" ref="M59:N59" si="139">SUM(M60:M61)</f>
        <v>0</v>
      </c>
      <c r="N59" s="136">
        <f t="shared" si="139"/>
        <v>0</v>
      </c>
      <c r="O59" s="137"/>
      <c r="P59" s="138">
        <f t="shared" ref="P59:Q59" si="140">SUM(P60:P61)</f>
        <v>0</v>
      </c>
      <c r="Q59" s="136">
        <f t="shared" si="140"/>
        <v>0</v>
      </c>
      <c r="R59" s="137"/>
      <c r="S59" s="138">
        <f t="shared" ref="S59:T59" si="141">SUM(S60:S61)</f>
        <v>0</v>
      </c>
      <c r="T59" s="136">
        <f t="shared" si="141"/>
        <v>0</v>
      </c>
      <c r="U59" s="137"/>
      <c r="V59" s="138">
        <f t="shared" ref="V59:X59" si="142">SUM(V60:V61)</f>
        <v>0</v>
      </c>
      <c r="W59" s="138">
        <f t="shared" si="142"/>
        <v>0</v>
      </c>
      <c r="X59" s="138">
        <f t="shared" si="142"/>
        <v>0</v>
      </c>
      <c r="Y59" s="138">
        <f t="shared" si="129"/>
        <v>0</v>
      </c>
      <c r="Z59" s="289" t="e">
        <f t="shared" si="130"/>
        <v>#DIV/0!</v>
      </c>
      <c r="AA59" s="548"/>
      <c r="AB59" s="114"/>
      <c r="AC59" s="114"/>
      <c r="AD59" s="114"/>
      <c r="AE59" s="114"/>
      <c r="AF59" s="114"/>
      <c r="AG59" s="114"/>
    </row>
    <row r="60" spans="1:33" ht="39" customHeight="1">
      <c r="A60" s="115" t="s">
        <v>51</v>
      </c>
      <c r="B60" s="116" t="s">
        <v>640</v>
      </c>
      <c r="C60" s="187" t="s">
        <v>641</v>
      </c>
      <c r="D60" s="117" t="s">
        <v>84</v>
      </c>
      <c r="E60" s="798" t="s">
        <v>85</v>
      </c>
      <c r="F60" s="799"/>
      <c r="G60" s="800"/>
      <c r="H60" s="798" t="s">
        <v>85</v>
      </c>
      <c r="I60" s="799"/>
      <c r="J60" s="800"/>
      <c r="K60" s="118"/>
      <c r="L60" s="119"/>
      <c r="M60" s="120">
        <f t="shared" ref="M60:M61" si="143">K60*L60</f>
        <v>0</v>
      </c>
      <c r="N60" s="118"/>
      <c r="O60" s="119"/>
      <c r="P60" s="120">
        <f t="shared" ref="P60:P61" si="144">N60*O60</f>
        <v>0</v>
      </c>
      <c r="Q60" s="118"/>
      <c r="R60" s="119"/>
      <c r="S60" s="120">
        <f t="shared" ref="S60:S61" si="145">Q60*R60</f>
        <v>0</v>
      </c>
      <c r="T60" s="118"/>
      <c r="U60" s="119"/>
      <c r="V60" s="120">
        <f t="shared" ref="V60:V61" si="146">T60*U60</f>
        <v>0</v>
      </c>
      <c r="W60" s="133">
        <f t="shared" ref="W60:W61" si="147">G60+M60+S60</f>
        <v>0</v>
      </c>
      <c r="X60" s="122">
        <f t="shared" ref="X60:X61" si="148">J60+P60+V60</f>
        <v>0</v>
      </c>
      <c r="Y60" s="122">
        <f t="shared" si="129"/>
        <v>0</v>
      </c>
      <c r="Z60" s="554" t="e">
        <f t="shared" si="130"/>
        <v>#DIV/0!</v>
      </c>
      <c r="AA60" s="549"/>
      <c r="AB60" s="125"/>
      <c r="AC60" s="125"/>
      <c r="AD60" s="125"/>
      <c r="AE60" s="125"/>
      <c r="AF60" s="125"/>
      <c r="AG60" s="125"/>
    </row>
    <row r="61" spans="1:33" ht="40.5" customHeight="1" thickBot="1">
      <c r="A61" s="127" t="s">
        <v>51</v>
      </c>
      <c r="B61" s="128" t="s">
        <v>642</v>
      </c>
      <c r="C61" s="167" t="s">
        <v>86</v>
      </c>
      <c r="D61" s="129" t="s">
        <v>84</v>
      </c>
      <c r="E61" s="801"/>
      <c r="F61" s="802"/>
      <c r="G61" s="803"/>
      <c r="H61" s="801"/>
      <c r="I61" s="802"/>
      <c r="J61" s="803"/>
      <c r="K61" s="142"/>
      <c r="L61" s="143"/>
      <c r="M61" s="144">
        <f t="shared" si="143"/>
        <v>0</v>
      </c>
      <c r="N61" s="142"/>
      <c r="O61" s="143"/>
      <c r="P61" s="144">
        <f t="shared" si="144"/>
        <v>0</v>
      </c>
      <c r="Q61" s="142"/>
      <c r="R61" s="143"/>
      <c r="S61" s="144">
        <f t="shared" si="145"/>
        <v>0</v>
      </c>
      <c r="T61" s="142"/>
      <c r="U61" s="143"/>
      <c r="V61" s="144">
        <f t="shared" si="146"/>
        <v>0</v>
      </c>
      <c r="W61" s="133">
        <f t="shared" si="147"/>
        <v>0</v>
      </c>
      <c r="X61" s="122">
        <f t="shared" si="148"/>
        <v>0</v>
      </c>
      <c r="Y61" s="151">
        <f t="shared" si="129"/>
        <v>0</v>
      </c>
      <c r="Z61" s="554" t="e">
        <f t="shared" si="130"/>
        <v>#DIV/0!</v>
      </c>
      <c r="AA61" s="549"/>
      <c r="AB61" s="125"/>
      <c r="AC61" s="125"/>
      <c r="AD61" s="125"/>
      <c r="AE61" s="125"/>
      <c r="AF61" s="125"/>
      <c r="AG61" s="125"/>
    </row>
    <row r="62" spans="1:33" ht="30" customHeight="1" thickBot="1">
      <c r="A62" s="170" t="s">
        <v>87</v>
      </c>
      <c r="B62" s="171"/>
      <c r="C62" s="172"/>
      <c r="D62" s="173"/>
      <c r="E62" s="177">
        <f>E55</f>
        <v>0</v>
      </c>
      <c r="F62" s="189"/>
      <c r="G62" s="176">
        <f t="shared" ref="G62:H62" si="149">G55</f>
        <v>0</v>
      </c>
      <c r="H62" s="177">
        <f t="shared" si="149"/>
        <v>0</v>
      </c>
      <c r="I62" s="189"/>
      <c r="J62" s="176">
        <f>J55</f>
        <v>0</v>
      </c>
      <c r="K62" s="190">
        <f>K59+K55</f>
        <v>0</v>
      </c>
      <c r="L62" s="189"/>
      <c r="M62" s="176">
        <f t="shared" ref="M62:N62" si="150">M59+M55</f>
        <v>0</v>
      </c>
      <c r="N62" s="190">
        <f t="shared" si="150"/>
        <v>0</v>
      </c>
      <c r="O62" s="189"/>
      <c r="P62" s="176">
        <f t="shared" ref="P62:Q62" si="151">P59+P55</f>
        <v>0</v>
      </c>
      <c r="Q62" s="190">
        <f t="shared" si="151"/>
        <v>0</v>
      </c>
      <c r="R62" s="189"/>
      <c r="S62" s="176">
        <f t="shared" ref="S62:T62" si="152">S59+S55</f>
        <v>0</v>
      </c>
      <c r="T62" s="190">
        <f t="shared" si="152"/>
        <v>0</v>
      </c>
      <c r="U62" s="189"/>
      <c r="V62" s="176">
        <f t="shared" ref="V62:X62" si="153">V59+V55</f>
        <v>0</v>
      </c>
      <c r="W62" s="191">
        <f t="shared" si="153"/>
        <v>0</v>
      </c>
      <c r="X62" s="191">
        <f t="shared" si="153"/>
        <v>0</v>
      </c>
      <c r="Y62" s="191">
        <f t="shared" si="129"/>
        <v>0</v>
      </c>
      <c r="Z62" s="587" t="e">
        <f t="shared" si="130"/>
        <v>#DIV/0!</v>
      </c>
      <c r="AA62" s="577"/>
      <c r="AB62" s="125"/>
      <c r="AC62" s="125"/>
      <c r="AD62" s="125"/>
      <c r="AE62" s="76"/>
      <c r="AF62" s="76"/>
      <c r="AG62" s="76"/>
    </row>
    <row r="63" spans="1:33" ht="30" customHeight="1" thickBot="1">
      <c r="A63" s="180" t="s">
        <v>49</v>
      </c>
      <c r="B63" s="181">
        <v>4</v>
      </c>
      <c r="C63" s="182" t="s">
        <v>88</v>
      </c>
      <c r="D63" s="183"/>
      <c r="E63" s="103"/>
      <c r="F63" s="103"/>
      <c r="G63" s="103"/>
      <c r="H63" s="103"/>
      <c r="I63" s="103"/>
      <c r="J63" s="103"/>
      <c r="K63" s="103"/>
      <c r="L63" s="103"/>
      <c r="M63" s="103"/>
      <c r="N63" s="103"/>
      <c r="O63" s="103"/>
      <c r="P63" s="103"/>
      <c r="Q63" s="103"/>
      <c r="R63" s="103"/>
      <c r="S63" s="103"/>
      <c r="T63" s="103"/>
      <c r="U63" s="103"/>
      <c r="V63" s="103"/>
      <c r="W63" s="104"/>
      <c r="X63" s="104"/>
      <c r="Y63" s="184"/>
      <c r="Z63" s="104"/>
      <c r="AA63" s="578"/>
      <c r="AB63" s="76"/>
      <c r="AC63" s="76"/>
      <c r="AD63" s="76"/>
      <c r="AE63" s="76"/>
      <c r="AF63" s="76"/>
      <c r="AG63" s="76"/>
    </row>
    <row r="64" spans="1:33" ht="30" customHeight="1">
      <c r="A64" s="192" t="s">
        <v>50</v>
      </c>
      <c r="B64" s="193" t="s">
        <v>313</v>
      </c>
      <c r="C64" s="194" t="s">
        <v>89</v>
      </c>
      <c r="D64" s="195"/>
      <c r="E64" s="196">
        <f>SUM(E65:E70)</f>
        <v>35</v>
      </c>
      <c r="F64" s="196"/>
      <c r="G64" s="196">
        <f>SUM(G65:G70)</f>
        <v>91200</v>
      </c>
      <c r="H64" s="196">
        <f>SUM(H65:H70)</f>
        <v>19</v>
      </c>
      <c r="I64" s="196"/>
      <c r="J64" s="196">
        <f>SUM(J65:J70)</f>
        <v>75400</v>
      </c>
      <c r="K64" s="196">
        <f>SUM(K65:K70)</f>
        <v>13</v>
      </c>
      <c r="L64" s="196"/>
      <c r="M64" s="196">
        <f t="shared" ref="M64:N64" si="154">SUM(M65:M70)</f>
        <v>60150</v>
      </c>
      <c r="N64" s="196">
        <f t="shared" si="154"/>
        <v>13</v>
      </c>
      <c r="O64" s="196"/>
      <c r="P64" s="196">
        <f t="shared" ref="P64" si="155">SUM(P65:P70)</f>
        <v>60000</v>
      </c>
      <c r="Q64" s="196">
        <f t="shared" ref="Q64" si="156">SUM(Q65:Q67)</f>
        <v>0</v>
      </c>
      <c r="R64" s="197"/>
      <c r="S64" s="198">
        <f t="shared" ref="S64:T64" si="157">SUM(S65:S67)</f>
        <v>0</v>
      </c>
      <c r="T64" s="196">
        <f t="shared" si="157"/>
        <v>0</v>
      </c>
      <c r="U64" s="197"/>
      <c r="V64" s="198">
        <f t="shared" ref="V64" si="158">SUM(V65:V67)</f>
        <v>0</v>
      </c>
      <c r="W64" s="198">
        <f>SUM(W65:W70)</f>
        <v>151350</v>
      </c>
      <c r="X64" s="198">
        <f>SUM(X65:X70)</f>
        <v>135400</v>
      </c>
      <c r="Y64" s="199">
        <f t="shared" ref="Y64:Y99" si="159">W64-X64</f>
        <v>15950</v>
      </c>
      <c r="Z64" s="588">
        <f t="shared" ref="Z64:Z99" si="160">Y64/W64</f>
        <v>0.10538486950776346</v>
      </c>
      <c r="AA64" s="548"/>
      <c r="AB64" s="114"/>
      <c r="AC64" s="114"/>
      <c r="AD64" s="114"/>
      <c r="AE64" s="114"/>
      <c r="AF64" s="114"/>
      <c r="AG64" s="114"/>
    </row>
    <row r="65" spans="1:33" s="335" customFormat="1" ht="30" customHeight="1">
      <c r="A65" s="406" t="s">
        <v>51</v>
      </c>
      <c r="B65" s="407" t="s">
        <v>314</v>
      </c>
      <c r="C65" s="397" t="s">
        <v>90</v>
      </c>
      <c r="D65" s="419" t="s">
        <v>643</v>
      </c>
      <c r="E65" s="420"/>
      <c r="F65" s="420"/>
      <c r="G65" s="420">
        <f t="shared" ref="G65:G70" si="161">E65*F65</f>
        <v>0</v>
      </c>
      <c r="H65" s="420"/>
      <c r="I65" s="420"/>
      <c r="J65" s="420">
        <f t="shared" ref="J65:J69" si="162">H65*I65</f>
        <v>0</v>
      </c>
      <c r="K65" s="351">
        <v>4</v>
      </c>
      <c r="L65" s="420">
        <v>12000</v>
      </c>
      <c r="M65" s="351">
        <f t="shared" ref="M65:M70" si="163">K65*L65</f>
        <v>48000</v>
      </c>
      <c r="N65" s="351">
        <v>4</v>
      </c>
      <c r="O65" s="420">
        <v>12000</v>
      </c>
      <c r="P65" s="351">
        <f t="shared" ref="P65:P68" si="164">N65*O65</f>
        <v>48000</v>
      </c>
      <c r="Q65" s="351"/>
      <c r="R65" s="420"/>
      <c r="S65" s="351">
        <f t="shared" ref="S65:S69" si="165">Q65*R65</f>
        <v>0</v>
      </c>
      <c r="T65" s="351"/>
      <c r="U65" s="420"/>
      <c r="V65" s="351">
        <f t="shared" ref="V65:V69" si="166">T65*U65</f>
        <v>0</v>
      </c>
      <c r="W65" s="413">
        <f t="shared" ref="W65:W70" si="167">G65+M65+S65</f>
        <v>48000</v>
      </c>
      <c r="X65" s="478">
        <f t="shared" ref="X65:X70" si="168">J65+P65+V65</f>
        <v>48000</v>
      </c>
      <c r="Y65" s="413">
        <f t="shared" si="159"/>
        <v>0</v>
      </c>
      <c r="Z65" s="560">
        <f t="shared" si="160"/>
        <v>0</v>
      </c>
      <c r="AA65" s="547"/>
      <c r="AB65" s="334"/>
      <c r="AC65" s="334"/>
      <c r="AD65" s="334"/>
      <c r="AE65" s="334"/>
      <c r="AF65" s="334"/>
      <c r="AG65" s="334"/>
    </row>
    <row r="66" spans="1:33" s="335" customFormat="1" ht="91.5" customHeight="1">
      <c r="A66" s="406" t="s">
        <v>51</v>
      </c>
      <c r="B66" s="407" t="s">
        <v>316</v>
      </c>
      <c r="C66" s="397" t="s">
        <v>317</v>
      </c>
      <c r="D66" s="419" t="s">
        <v>643</v>
      </c>
      <c r="E66" s="420">
        <v>18</v>
      </c>
      <c r="F66" s="420">
        <v>1900</v>
      </c>
      <c r="G66" s="420">
        <f t="shared" si="161"/>
        <v>34200</v>
      </c>
      <c r="H66" s="420">
        <v>18</v>
      </c>
      <c r="I66" s="420">
        <v>2800</v>
      </c>
      <c r="J66" s="421">
        <f>H66*I66</f>
        <v>50400</v>
      </c>
      <c r="K66" s="351">
        <v>0</v>
      </c>
      <c r="L66" s="420">
        <v>0</v>
      </c>
      <c r="M66" s="351">
        <f t="shared" si="163"/>
        <v>0</v>
      </c>
      <c r="N66" s="351"/>
      <c r="O66" s="420"/>
      <c r="P66" s="351">
        <f t="shared" si="164"/>
        <v>0</v>
      </c>
      <c r="Q66" s="351"/>
      <c r="R66" s="420"/>
      <c r="S66" s="351">
        <f t="shared" si="165"/>
        <v>0</v>
      </c>
      <c r="T66" s="351"/>
      <c r="U66" s="420"/>
      <c r="V66" s="351">
        <f t="shared" si="166"/>
        <v>0</v>
      </c>
      <c r="W66" s="413">
        <f t="shared" si="167"/>
        <v>34200</v>
      </c>
      <c r="X66" s="413">
        <f t="shared" si="168"/>
        <v>50400</v>
      </c>
      <c r="Y66" s="479">
        <f t="shared" si="159"/>
        <v>-16200</v>
      </c>
      <c r="Z66" s="589">
        <f t="shared" si="160"/>
        <v>-0.47368421052631576</v>
      </c>
      <c r="AA66" s="547" t="s">
        <v>947</v>
      </c>
      <c r="AB66" s="334"/>
      <c r="AC66" s="334"/>
      <c r="AD66" s="334"/>
      <c r="AE66" s="334"/>
      <c r="AF66" s="334"/>
      <c r="AG66" s="334"/>
    </row>
    <row r="67" spans="1:33" ht="44.25" customHeight="1">
      <c r="A67" s="146" t="s">
        <v>51</v>
      </c>
      <c r="B67" s="147" t="s">
        <v>644</v>
      </c>
      <c r="C67" s="155" t="s">
        <v>645</v>
      </c>
      <c r="D67" s="201" t="s">
        <v>643</v>
      </c>
      <c r="E67" s="200"/>
      <c r="F67" s="200"/>
      <c r="G67" s="200">
        <f t="shared" si="161"/>
        <v>0</v>
      </c>
      <c r="H67" s="200"/>
      <c r="I67" s="200"/>
      <c r="J67" s="200">
        <f t="shared" si="162"/>
        <v>0</v>
      </c>
      <c r="K67" s="149"/>
      <c r="L67" s="200"/>
      <c r="M67" s="149">
        <f t="shared" si="163"/>
        <v>0</v>
      </c>
      <c r="N67" s="149"/>
      <c r="O67" s="200"/>
      <c r="P67" s="149">
        <f t="shared" si="164"/>
        <v>0</v>
      </c>
      <c r="Q67" s="149"/>
      <c r="R67" s="200"/>
      <c r="S67" s="149">
        <f t="shared" si="165"/>
        <v>0</v>
      </c>
      <c r="T67" s="149"/>
      <c r="U67" s="200"/>
      <c r="V67" s="149">
        <f t="shared" si="166"/>
        <v>0</v>
      </c>
      <c r="W67" s="154">
        <f t="shared" si="167"/>
        <v>0</v>
      </c>
      <c r="X67" s="154">
        <f t="shared" si="168"/>
        <v>0</v>
      </c>
      <c r="Y67" s="479">
        <f t="shared" si="159"/>
        <v>0</v>
      </c>
      <c r="Z67" s="589" t="e">
        <f t="shared" si="160"/>
        <v>#DIV/0!</v>
      </c>
      <c r="AA67" s="549"/>
      <c r="AB67" s="125"/>
      <c r="AC67" s="125"/>
      <c r="AD67" s="125"/>
      <c r="AE67" s="125"/>
      <c r="AF67" s="125"/>
      <c r="AG67" s="125"/>
    </row>
    <row r="68" spans="1:33" ht="78.75" customHeight="1">
      <c r="A68" s="410" t="s">
        <v>51</v>
      </c>
      <c r="B68" s="411" t="s">
        <v>318</v>
      </c>
      <c r="C68" s="397" t="s">
        <v>319</v>
      </c>
      <c r="D68" s="422" t="s">
        <v>91</v>
      </c>
      <c r="E68" s="420">
        <v>14</v>
      </c>
      <c r="F68" s="420">
        <v>1500</v>
      </c>
      <c r="G68" s="420">
        <f t="shared" si="161"/>
        <v>21000</v>
      </c>
      <c r="H68" s="420"/>
      <c r="I68" s="420"/>
      <c r="J68" s="420">
        <f t="shared" si="162"/>
        <v>0</v>
      </c>
      <c r="K68" s="351"/>
      <c r="L68" s="420"/>
      <c r="M68" s="351">
        <f t="shared" si="163"/>
        <v>0</v>
      </c>
      <c r="N68" s="351"/>
      <c r="O68" s="420"/>
      <c r="P68" s="351">
        <f t="shared" si="164"/>
        <v>0</v>
      </c>
      <c r="Q68" s="149"/>
      <c r="R68" s="200"/>
      <c r="S68" s="149">
        <f t="shared" si="165"/>
        <v>0</v>
      </c>
      <c r="T68" s="149"/>
      <c r="U68" s="200"/>
      <c r="V68" s="149">
        <f t="shared" si="166"/>
        <v>0</v>
      </c>
      <c r="W68" s="154">
        <f t="shared" si="167"/>
        <v>21000</v>
      </c>
      <c r="X68" s="154">
        <f t="shared" si="168"/>
        <v>0</v>
      </c>
      <c r="Y68" s="479">
        <f>W68-X68</f>
        <v>21000</v>
      </c>
      <c r="Z68" s="589"/>
      <c r="AA68" s="549" t="s">
        <v>948</v>
      </c>
      <c r="AB68" s="125"/>
      <c r="AC68" s="125"/>
      <c r="AD68" s="125"/>
      <c r="AE68" s="125"/>
      <c r="AF68" s="125"/>
      <c r="AG68" s="125"/>
    </row>
    <row r="69" spans="1:33" s="335" customFormat="1" ht="48.75" customHeight="1">
      <c r="A69" s="410" t="s">
        <v>51</v>
      </c>
      <c r="B69" s="411" t="s">
        <v>320</v>
      </c>
      <c r="C69" s="356" t="s">
        <v>646</v>
      </c>
      <c r="D69" s="422" t="s">
        <v>91</v>
      </c>
      <c r="E69" s="420"/>
      <c r="F69" s="420"/>
      <c r="G69" s="420">
        <f t="shared" si="161"/>
        <v>0</v>
      </c>
      <c r="H69" s="420"/>
      <c r="I69" s="420"/>
      <c r="J69" s="420">
        <f t="shared" si="162"/>
        <v>0</v>
      </c>
      <c r="K69" s="351">
        <v>9</v>
      </c>
      <c r="L69" s="420">
        <v>1350</v>
      </c>
      <c r="M69" s="351">
        <f t="shared" si="163"/>
        <v>12150</v>
      </c>
      <c r="N69" s="351">
        <v>9</v>
      </c>
      <c r="O69" s="420">
        <f>P69/N69</f>
        <v>1333.3333333333333</v>
      </c>
      <c r="P69" s="351">
        <v>12000</v>
      </c>
      <c r="Q69" s="351"/>
      <c r="R69" s="420"/>
      <c r="S69" s="351">
        <f t="shared" si="165"/>
        <v>0</v>
      </c>
      <c r="T69" s="351"/>
      <c r="U69" s="420"/>
      <c r="V69" s="351">
        <f t="shared" si="166"/>
        <v>0</v>
      </c>
      <c r="W69" s="413">
        <f t="shared" si="167"/>
        <v>12150</v>
      </c>
      <c r="X69" s="413">
        <f t="shared" si="168"/>
        <v>12000</v>
      </c>
      <c r="Y69" s="479">
        <f t="shared" si="159"/>
        <v>150</v>
      </c>
      <c r="Z69" s="589"/>
      <c r="AA69" s="547"/>
      <c r="AB69" s="334"/>
      <c r="AC69" s="334"/>
      <c r="AD69" s="334"/>
      <c r="AE69" s="334"/>
      <c r="AF69" s="334"/>
      <c r="AG69" s="334"/>
    </row>
    <row r="70" spans="1:33" ht="87.75" customHeight="1">
      <c r="A70" s="410" t="s">
        <v>51</v>
      </c>
      <c r="B70" s="411" t="s">
        <v>322</v>
      </c>
      <c r="C70" s="397" t="s">
        <v>92</v>
      </c>
      <c r="D70" s="422" t="s">
        <v>91</v>
      </c>
      <c r="E70" s="420">
        <v>3</v>
      </c>
      <c r="F70" s="420">
        <v>12000</v>
      </c>
      <c r="G70" s="420">
        <f t="shared" si="161"/>
        <v>36000</v>
      </c>
      <c r="H70" s="420">
        <v>1</v>
      </c>
      <c r="I70" s="420">
        <v>25000</v>
      </c>
      <c r="J70" s="421">
        <f>H70*I70</f>
        <v>25000</v>
      </c>
      <c r="K70" s="351">
        <v>0</v>
      </c>
      <c r="L70" s="420">
        <v>0</v>
      </c>
      <c r="M70" s="351">
        <f t="shared" si="163"/>
        <v>0</v>
      </c>
      <c r="N70" s="351"/>
      <c r="O70" s="420"/>
      <c r="P70" s="351">
        <f>N70*O70</f>
        <v>0</v>
      </c>
      <c r="Q70" s="149"/>
      <c r="R70" s="200"/>
      <c r="S70" s="149"/>
      <c r="T70" s="149"/>
      <c r="U70" s="200"/>
      <c r="V70" s="149"/>
      <c r="W70" s="154">
        <f t="shared" si="167"/>
        <v>36000</v>
      </c>
      <c r="X70" s="154">
        <f t="shared" si="168"/>
        <v>25000</v>
      </c>
      <c r="Y70" s="479">
        <f t="shared" si="159"/>
        <v>11000</v>
      </c>
      <c r="Z70" s="589"/>
      <c r="AA70" s="549" t="s">
        <v>949</v>
      </c>
      <c r="AB70" s="125"/>
      <c r="AC70" s="125"/>
      <c r="AD70" s="125"/>
      <c r="AE70" s="125"/>
      <c r="AF70" s="125"/>
      <c r="AG70" s="125"/>
    </row>
    <row r="71" spans="1:33" ht="30" customHeight="1">
      <c r="A71" s="156" t="s">
        <v>50</v>
      </c>
      <c r="B71" s="157" t="s">
        <v>323</v>
      </c>
      <c r="C71" s="203" t="s">
        <v>324</v>
      </c>
      <c r="D71" s="109"/>
      <c r="E71" s="110">
        <f>SUM(E72:E86)</f>
        <v>223</v>
      </c>
      <c r="F71" s="110"/>
      <c r="G71" s="110">
        <f t="shared" ref="G71:H71" si="169">SUM(G72:G86)</f>
        <v>391250</v>
      </c>
      <c r="H71" s="110">
        <f t="shared" si="169"/>
        <v>221</v>
      </c>
      <c r="I71" s="110"/>
      <c r="J71" s="110">
        <f t="shared" ref="J71" si="170">SUM(J72:J86)</f>
        <v>371150</v>
      </c>
      <c r="K71" s="110">
        <f>SUM(K72:K86)</f>
        <v>131</v>
      </c>
      <c r="L71" s="110"/>
      <c r="M71" s="110">
        <f t="shared" ref="M71:N71" si="171">SUM(M72:M86)</f>
        <v>55400</v>
      </c>
      <c r="N71" s="110">
        <f t="shared" si="171"/>
        <v>174</v>
      </c>
      <c r="O71" s="110"/>
      <c r="P71" s="110">
        <f t="shared" ref="P71" si="172">SUM(P72:P86)</f>
        <v>61833</v>
      </c>
      <c r="Q71" s="110">
        <f t="shared" ref="Q71" si="173">SUM(Q72:Q74)</f>
        <v>0</v>
      </c>
      <c r="R71" s="111"/>
      <c r="S71" s="112">
        <f t="shared" ref="S71:T71" si="174">SUM(S72:S74)</f>
        <v>0</v>
      </c>
      <c r="T71" s="110">
        <f t="shared" si="174"/>
        <v>0</v>
      </c>
      <c r="U71" s="111"/>
      <c r="V71" s="112">
        <f t="shared" ref="V71" si="175">SUM(V72:V74)</f>
        <v>0</v>
      </c>
      <c r="W71" s="112">
        <f>SUM(W72:W86)</f>
        <v>446650</v>
      </c>
      <c r="X71" s="112">
        <f>SUM(X72:X86)</f>
        <v>432983</v>
      </c>
      <c r="Y71" s="112">
        <f t="shared" ref="Y71" si="176">SUM(Y72:Y86)</f>
        <v>13667</v>
      </c>
      <c r="Z71" s="158">
        <f t="shared" si="160"/>
        <v>3.0598902944139708E-2</v>
      </c>
      <c r="AA71" s="548"/>
      <c r="AB71" s="114"/>
      <c r="AC71" s="114"/>
      <c r="AD71" s="114"/>
      <c r="AE71" s="114"/>
      <c r="AF71" s="114"/>
      <c r="AG71" s="114"/>
    </row>
    <row r="72" spans="1:33" s="335" customFormat="1" ht="78" customHeight="1">
      <c r="A72" s="361" t="s">
        <v>51</v>
      </c>
      <c r="B72" s="386" t="s">
        <v>325</v>
      </c>
      <c r="C72" s="380" t="s">
        <v>647</v>
      </c>
      <c r="D72" s="415" t="s">
        <v>648</v>
      </c>
      <c r="E72" s="377">
        <v>1</v>
      </c>
      <c r="F72" s="375">
        <v>154000</v>
      </c>
      <c r="G72" s="376">
        <f t="shared" ref="G72:G86" si="177">E72*F72</f>
        <v>154000</v>
      </c>
      <c r="H72" s="377">
        <v>1</v>
      </c>
      <c r="I72" s="375">
        <v>93240</v>
      </c>
      <c r="J72" s="376">
        <f t="shared" ref="J72:J86" si="178">H72*I72</f>
        <v>93240</v>
      </c>
      <c r="K72" s="377"/>
      <c r="L72" s="375"/>
      <c r="M72" s="376">
        <f t="shared" ref="M72:M85" si="179">K72*L72</f>
        <v>0</v>
      </c>
      <c r="N72" s="377"/>
      <c r="O72" s="375"/>
      <c r="P72" s="376">
        <f t="shared" ref="P72:P86" si="180">N72*O72</f>
        <v>0</v>
      </c>
      <c r="Q72" s="377"/>
      <c r="R72" s="375"/>
      <c r="S72" s="376">
        <f t="shared" ref="S72:S74" si="181">Q72*R72</f>
        <v>0</v>
      </c>
      <c r="T72" s="377"/>
      <c r="U72" s="375"/>
      <c r="V72" s="376">
        <f t="shared" ref="V72:V74" si="182">T72*U72</f>
        <v>0</v>
      </c>
      <c r="W72" s="392">
        <f t="shared" ref="W72:W86" si="183">G72+M72+S72</f>
        <v>154000</v>
      </c>
      <c r="X72" s="354">
        <f t="shared" ref="X72:X86" si="184">J72+P72+V72</f>
        <v>93240</v>
      </c>
      <c r="Y72" s="354">
        <f t="shared" si="159"/>
        <v>60760</v>
      </c>
      <c r="Z72" s="553">
        <f t="shared" si="160"/>
        <v>0.39454545454545453</v>
      </c>
      <c r="AA72" s="547" t="s">
        <v>950</v>
      </c>
      <c r="AB72" s="334"/>
      <c r="AC72" s="334"/>
      <c r="AD72" s="334"/>
      <c r="AE72" s="334"/>
      <c r="AF72" s="334"/>
      <c r="AG72" s="334"/>
    </row>
    <row r="73" spans="1:33" ht="64.5" customHeight="1">
      <c r="A73" s="361" t="s">
        <v>51</v>
      </c>
      <c r="B73" s="389" t="s">
        <v>649</v>
      </c>
      <c r="C73" s="423" t="s">
        <v>93</v>
      </c>
      <c r="D73" s="424" t="s">
        <v>107</v>
      </c>
      <c r="E73" s="377">
        <v>1</v>
      </c>
      <c r="F73" s="375">
        <v>14000</v>
      </c>
      <c r="G73" s="376">
        <f t="shared" si="177"/>
        <v>14000</v>
      </c>
      <c r="H73" s="377"/>
      <c r="I73" s="375"/>
      <c r="J73" s="376">
        <f t="shared" si="178"/>
        <v>0</v>
      </c>
      <c r="K73" s="118"/>
      <c r="L73" s="119"/>
      <c r="M73" s="120">
        <f t="shared" si="179"/>
        <v>0</v>
      </c>
      <c r="N73" s="118"/>
      <c r="O73" s="119"/>
      <c r="P73" s="120">
        <f t="shared" si="180"/>
        <v>0</v>
      </c>
      <c r="Q73" s="118"/>
      <c r="R73" s="119"/>
      <c r="S73" s="120">
        <f t="shared" si="181"/>
        <v>0</v>
      </c>
      <c r="T73" s="118"/>
      <c r="U73" s="119"/>
      <c r="V73" s="120">
        <f t="shared" si="182"/>
        <v>0</v>
      </c>
      <c r="W73" s="121">
        <f t="shared" si="183"/>
        <v>14000</v>
      </c>
      <c r="X73" s="122">
        <f t="shared" si="184"/>
        <v>0</v>
      </c>
      <c r="Y73" s="480">
        <f t="shared" si="159"/>
        <v>14000</v>
      </c>
      <c r="Z73" s="554">
        <f t="shared" si="160"/>
        <v>1</v>
      </c>
      <c r="AA73" s="549" t="s">
        <v>951</v>
      </c>
      <c r="AB73" s="125"/>
      <c r="AC73" s="125"/>
      <c r="AD73" s="125"/>
      <c r="AE73" s="125"/>
      <c r="AF73" s="125"/>
      <c r="AG73" s="125"/>
    </row>
    <row r="74" spans="1:33" s="346" customFormat="1" ht="45.75" customHeight="1">
      <c r="A74" s="336" t="s">
        <v>51</v>
      </c>
      <c r="B74" s="337" t="s">
        <v>650</v>
      </c>
      <c r="C74" s="338" t="s">
        <v>94</v>
      </c>
      <c r="D74" s="339" t="s">
        <v>91</v>
      </c>
      <c r="E74" s="340">
        <v>3</v>
      </c>
      <c r="F74" s="341">
        <v>2250</v>
      </c>
      <c r="G74" s="342">
        <f t="shared" si="177"/>
        <v>6750</v>
      </c>
      <c r="H74" s="340">
        <v>3</v>
      </c>
      <c r="I74" s="341">
        <v>2250</v>
      </c>
      <c r="J74" s="342">
        <f t="shared" si="178"/>
        <v>6750</v>
      </c>
      <c r="K74" s="340"/>
      <c r="L74" s="341"/>
      <c r="M74" s="342">
        <f t="shared" si="179"/>
        <v>0</v>
      </c>
      <c r="N74" s="340"/>
      <c r="O74" s="341"/>
      <c r="P74" s="342">
        <f t="shared" si="180"/>
        <v>0</v>
      </c>
      <c r="Q74" s="340"/>
      <c r="R74" s="341"/>
      <c r="S74" s="342">
        <f t="shared" si="181"/>
        <v>0</v>
      </c>
      <c r="T74" s="340"/>
      <c r="U74" s="341"/>
      <c r="V74" s="342">
        <f t="shared" si="182"/>
        <v>0</v>
      </c>
      <c r="W74" s="343">
        <f t="shared" si="183"/>
        <v>6750</v>
      </c>
      <c r="X74" s="344">
        <f t="shared" si="184"/>
        <v>6750</v>
      </c>
      <c r="Y74" s="344">
        <f t="shared" si="159"/>
        <v>0</v>
      </c>
      <c r="Z74" s="590">
        <f t="shared" si="160"/>
        <v>0</v>
      </c>
      <c r="AA74" s="594"/>
      <c r="AB74" s="345"/>
      <c r="AC74" s="345"/>
      <c r="AD74" s="345"/>
      <c r="AE74" s="345"/>
      <c r="AF74" s="345"/>
      <c r="AG74" s="345"/>
    </row>
    <row r="75" spans="1:33" s="335" customFormat="1" ht="59.25" customHeight="1">
      <c r="A75" s="410" t="s">
        <v>51</v>
      </c>
      <c r="B75" s="411" t="s">
        <v>651</v>
      </c>
      <c r="C75" s="356" t="s">
        <v>95</v>
      </c>
      <c r="D75" s="416" t="s">
        <v>96</v>
      </c>
      <c r="E75" s="351">
        <v>200</v>
      </c>
      <c r="F75" s="351">
        <v>90</v>
      </c>
      <c r="G75" s="351">
        <f t="shared" si="177"/>
        <v>18000</v>
      </c>
      <c r="H75" s="351">
        <v>200</v>
      </c>
      <c r="I75" s="351">
        <v>90</v>
      </c>
      <c r="J75" s="351">
        <f t="shared" si="178"/>
        <v>18000</v>
      </c>
      <c r="K75" s="351"/>
      <c r="L75" s="351"/>
      <c r="M75" s="351">
        <f t="shared" si="179"/>
        <v>0</v>
      </c>
      <c r="N75" s="351"/>
      <c r="O75" s="351"/>
      <c r="P75" s="351">
        <f t="shared" si="180"/>
        <v>0</v>
      </c>
      <c r="Q75" s="351"/>
      <c r="R75" s="351"/>
      <c r="S75" s="351"/>
      <c r="T75" s="351"/>
      <c r="U75" s="351"/>
      <c r="V75" s="351"/>
      <c r="W75" s="333">
        <f t="shared" si="183"/>
        <v>18000</v>
      </c>
      <c r="X75" s="409">
        <f t="shared" si="184"/>
        <v>18000</v>
      </c>
      <c r="Y75" s="409">
        <f t="shared" si="159"/>
        <v>0</v>
      </c>
      <c r="Z75" s="559">
        <f t="shared" si="160"/>
        <v>0</v>
      </c>
      <c r="AA75" s="547"/>
      <c r="AB75" s="334"/>
      <c r="AC75" s="334"/>
      <c r="AD75" s="334"/>
      <c r="AE75" s="334"/>
      <c r="AF75" s="334"/>
      <c r="AG75" s="334"/>
    </row>
    <row r="76" spans="1:33" s="335" customFormat="1" ht="78" customHeight="1">
      <c r="A76" s="410" t="s">
        <v>51</v>
      </c>
      <c r="B76" s="411" t="s">
        <v>333</v>
      </c>
      <c r="C76" s="356" t="s">
        <v>97</v>
      </c>
      <c r="D76" s="416" t="s">
        <v>96</v>
      </c>
      <c r="E76" s="351">
        <v>1</v>
      </c>
      <c r="F76" s="351">
        <v>38000</v>
      </c>
      <c r="G76" s="351">
        <f t="shared" si="177"/>
        <v>38000</v>
      </c>
      <c r="H76" s="351">
        <v>1</v>
      </c>
      <c r="I76" s="351">
        <v>46000</v>
      </c>
      <c r="J76" s="351">
        <f t="shared" si="178"/>
        <v>46000</v>
      </c>
      <c r="K76" s="351"/>
      <c r="L76" s="351"/>
      <c r="M76" s="351">
        <f t="shared" si="179"/>
        <v>0</v>
      </c>
      <c r="N76" s="351"/>
      <c r="O76" s="351"/>
      <c r="P76" s="351">
        <f t="shared" si="180"/>
        <v>0</v>
      </c>
      <c r="Q76" s="351"/>
      <c r="R76" s="351"/>
      <c r="S76" s="351"/>
      <c r="T76" s="351"/>
      <c r="U76" s="351"/>
      <c r="V76" s="351"/>
      <c r="W76" s="333">
        <f t="shared" si="183"/>
        <v>38000</v>
      </c>
      <c r="X76" s="409">
        <f t="shared" si="184"/>
        <v>46000</v>
      </c>
      <c r="Y76" s="409">
        <f t="shared" si="159"/>
        <v>-8000</v>
      </c>
      <c r="Z76" s="559">
        <f t="shared" si="160"/>
        <v>-0.21052631578947367</v>
      </c>
      <c r="AA76" s="550" t="s">
        <v>1057</v>
      </c>
      <c r="AB76" s="334"/>
      <c r="AC76" s="334"/>
      <c r="AD76" s="334"/>
      <c r="AE76" s="334"/>
      <c r="AF76" s="334"/>
      <c r="AG76" s="334"/>
    </row>
    <row r="77" spans="1:33" s="335" customFormat="1" ht="82.5" customHeight="1">
      <c r="A77" s="410" t="s">
        <v>51</v>
      </c>
      <c r="B77" s="411" t="s">
        <v>334</v>
      </c>
      <c r="C77" s="356" t="s">
        <v>98</v>
      </c>
      <c r="D77" s="416" t="s">
        <v>96</v>
      </c>
      <c r="E77" s="351">
        <v>4</v>
      </c>
      <c r="F77" s="351">
        <v>17500</v>
      </c>
      <c r="G77" s="351">
        <f t="shared" si="177"/>
        <v>70000</v>
      </c>
      <c r="H77" s="351">
        <v>4</v>
      </c>
      <c r="I77" s="351">
        <v>30000</v>
      </c>
      <c r="J77" s="425">
        <f>H77*I77</f>
        <v>120000</v>
      </c>
      <c r="K77" s="351"/>
      <c r="L77" s="351"/>
      <c r="M77" s="351">
        <f t="shared" si="179"/>
        <v>0</v>
      </c>
      <c r="N77" s="351"/>
      <c r="O77" s="351"/>
      <c r="P77" s="351">
        <f t="shared" si="180"/>
        <v>0</v>
      </c>
      <c r="Q77" s="351"/>
      <c r="R77" s="351"/>
      <c r="S77" s="351"/>
      <c r="T77" s="351"/>
      <c r="U77" s="351"/>
      <c r="V77" s="351"/>
      <c r="W77" s="333">
        <f t="shared" si="183"/>
        <v>70000</v>
      </c>
      <c r="X77" s="409">
        <f t="shared" si="184"/>
        <v>120000</v>
      </c>
      <c r="Y77" s="409">
        <f t="shared" si="159"/>
        <v>-50000</v>
      </c>
      <c r="Z77" s="559">
        <f t="shared" si="160"/>
        <v>-0.7142857142857143</v>
      </c>
      <c r="AA77" s="547" t="s">
        <v>952</v>
      </c>
      <c r="AB77" s="334"/>
      <c r="AC77" s="334"/>
      <c r="AD77" s="334"/>
      <c r="AE77" s="334"/>
      <c r="AF77" s="334"/>
      <c r="AG77" s="334"/>
    </row>
    <row r="78" spans="1:33" s="335" customFormat="1" ht="99" customHeight="1">
      <c r="A78" s="410" t="s">
        <v>51</v>
      </c>
      <c r="B78" s="411" t="s">
        <v>336</v>
      </c>
      <c r="C78" s="356" t="s">
        <v>99</v>
      </c>
      <c r="D78" s="416" t="s">
        <v>91</v>
      </c>
      <c r="E78" s="351">
        <v>4</v>
      </c>
      <c r="F78" s="351">
        <v>2500</v>
      </c>
      <c r="G78" s="351">
        <f t="shared" si="177"/>
        <v>10000</v>
      </c>
      <c r="H78" s="351">
        <v>4</v>
      </c>
      <c r="I78" s="351">
        <v>4500</v>
      </c>
      <c r="J78" s="351">
        <f t="shared" si="178"/>
        <v>18000</v>
      </c>
      <c r="K78" s="351"/>
      <c r="L78" s="351"/>
      <c r="M78" s="351">
        <f t="shared" si="179"/>
        <v>0</v>
      </c>
      <c r="N78" s="351"/>
      <c r="O78" s="351"/>
      <c r="P78" s="351">
        <f t="shared" si="180"/>
        <v>0</v>
      </c>
      <c r="Q78" s="351"/>
      <c r="R78" s="351"/>
      <c r="S78" s="351"/>
      <c r="T78" s="351"/>
      <c r="U78" s="351"/>
      <c r="V78" s="351"/>
      <c r="W78" s="333">
        <f t="shared" si="183"/>
        <v>10000</v>
      </c>
      <c r="X78" s="409">
        <f t="shared" si="184"/>
        <v>18000</v>
      </c>
      <c r="Y78" s="409">
        <f t="shared" si="159"/>
        <v>-8000</v>
      </c>
      <c r="Z78" s="559">
        <f t="shared" si="160"/>
        <v>-0.8</v>
      </c>
      <c r="AA78" s="547" t="s">
        <v>953</v>
      </c>
      <c r="AB78" s="334"/>
      <c r="AC78" s="334"/>
      <c r="AD78" s="334"/>
      <c r="AE78" s="334"/>
      <c r="AF78" s="334"/>
      <c r="AG78" s="334"/>
    </row>
    <row r="79" spans="1:33" s="335" customFormat="1" ht="108.75" customHeight="1">
      <c r="A79" s="410" t="s">
        <v>51</v>
      </c>
      <c r="B79" s="411" t="s">
        <v>337</v>
      </c>
      <c r="C79" s="356" t="s">
        <v>100</v>
      </c>
      <c r="D79" s="416" t="s">
        <v>91</v>
      </c>
      <c r="E79" s="351">
        <v>4</v>
      </c>
      <c r="F79" s="351">
        <v>1250</v>
      </c>
      <c r="G79" s="351">
        <f>E79*F79</f>
        <v>5000</v>
      </c>
      <c r="H79" s="351">
        <v>4</v>
      </c>
      <c r="I79" s="351">
        <v>2500</v>
      </c>
      <c r="J79" s="351">
        <f>H79*I79</f>
        <v>10000</v>
      </c>
      <c r="K79" s="351"/>
      <c r="L79" s="351"/>
      <c r="M79" s="351">
        <f t="shared" si="179"/>
        <v>0</v>
      </c>
      <c r="N79" s="351"/>
      <c r="O79" s="351"/>
      <c r="P79" s="351">
        <f t="shared" si="180"/>
        <v>0</v>
      </c>
      <c r="Q79" s="351"/>
      <c r="R79" s="351"/>
      <c r="S79" s="351"/>
      <c r="T79" s="351"/>
      <c r="U79" s="351"/>
      <c r="V79" s="351"/>
      <c r="W79" s="333">
        <f t="shared" si="183"/>
        <v>5000</v>
      </c>
      <c r="X79" s="409">
        <f t="shared" si="184"/>
        <v>10000</v>
      </c>
      <c r="Y79" s="409">
        <f t="shared" si="159"/>
        <v>-5000</v>
      </c>
      <c r="Z79" s="559">
        <f t="shared" si="160"/>
        <v>-1</v>
      </c>
      <c r="AA79" s="550" t="s">
        <v>954</v>
      </c>
      <c r="AB79" s="334"/>
      <c r="AC79" s="334"/>
      <c r="AD79" s="334"/>
      <c r="AE79" s="334"/>
      <c r="AF79" s="334"/>
      <c r="AG79" s="334"/>
    </row>
    <row r="80" spans="1:33" s="335" customFormat="1" ht="45" customHeight="1">
      <c r="A80" s="410" t="s">
        <v>51</v>
      </c>
      <c r="B80" s="411" t="s">
        <v>338</v>
      </c>
      <c r="C80" s="356" t="s">
        <v>101</v>
      </c>
      <c r="D80" s="416" t="s">
        <v>96</v>
      </c>
      <c r="E80" s="351"/>
      <c r="F80" s="351"/>
      <c r="G80" s="351">
        <f t="shared" si="177"/>
        <v>0</v>
      </c>
      <c r="H80" s="351"/>
      <c r="I80" s="351"/>
      <c r="J80" s="351">
        <f t="shared" si="178"/>
        <v>0</v>
      </c>
      <c r="K80" s="351">
        <v>10</v>
      </c>
      <c r="L80" s="351">
        <v>300</v>
      </c>
      <c r="M80" s="351">
        <f t="shared" si="179"/>
        <v>3000</v>
      </c>
      <c r="N80" s="351">
        <v>10</v>
      </c>
      <c r="O80" s="351">
        <v>186</v>
      </c>
      <c r="P80" s="351">
        <f t="shared" si="180"/>
        <v>1860</v>
      </c>
      <c r="Q80" s="351"/>
      <c r="R80" s="351"/>
      <c r="S80" s="351"/>
      <c r="T80" s="351"/>
      <c r="U80" s="351"/>
      <c r="V80" s="351"/>
      <c r="W80" s="333">
        <f t="shared" si="183"/>
        <v>3000</v>
      </c>
      <c r="X80" s="409">
        <f t="shared" si="184"/>
        <v>1860</v>
      </c>
      <c r="Y80" s="409">
        <f t="shared" si="159"/>
        <v>1140</v>
      </c>
      <c r="Z80" s="559">
        <f t="shared" si="160"/>
        <v>0.38</v>
      </c>
      <c r="AA80" s="547"/>
      <c r="AB80" s="426"/>
      <c r="AC80" s="334"/>
      <c r="AD80" s="334"/>
      <c r="AE80" s="334"/>
      <c r="AF80" s="334"/>
      <c r="AG80" s="334"/>
    </row>
    <row r="81" spans="1:33" s="335" customFormat="1" ht="64.5" customHeight="1">
      <c r="A81" s="410" t="s">
        <v>51</v>
      </c>
      <c r="B81" s="411" t="s">
        <v>339</v>
      </c>
      <c r="C81" s="356" t="s">
        <v>102</v>
      </c>
      <c r="D81" s="416" t="s">
        <v>96</v>
      </c>
      <c r="E81" s="351"/>
      <c r="F81" s="351"/>
      <c r="G81" s="351">
        <f t="shared" si="177"/>
        <v>0</v>
      </c>
      <c r="H81" s="351"/>
      <c r="I81" s="351"/>
      <c r="J81" s="351">
        <f t="shared" si="178"/>
        <v>0</v>
      </c>
      <c r="K81" s="351">
        <v>40</v>
      </c>
      <c r="L81" s="351">
        <v>500</v>
      </c>
      <c r="M81" s="351">
        <f t="shared" si="179"/>
        <v>20000</v>
      </c>
      <c r="N81" s="351">
        <v>40</v>
      </c>
      <c r="O81" s="351">
        <v>546.5</v>
      </c>
      <c r="P81" s="351">
        <f t="shared" si="180"/>
        <v>21860</v>
      </c>
      <c r="Q81" s="351"/>
      <c r="R81" s="351"/>
      <c r="S81" s="351"/>
      <c r="T81" s="351"/>
      <c r="U81" s="351"/>
      <c r="V81" s="351"/>
      <c r="W81" s="333">
        <f t="shared" si="183"/>
        <v>20000</v>
      </c>
      <c r="X81" s="409">
        <f t="shared" si="184"/>
        <v>21860</v>
      </c>
      <c r="Y81" s="409">
        <f t="shared" si="159"/>
        <v>-1860</v>
      </c>
      <c r="Z81" s="559">
        <f t="shared" si="160"/>
        <v>-9.2999999999999999E-2</v>
      </c>
      <c r="AA81" s="547" t="s">
        <v>975</v>
      </c>
      <c r="AB81" s="334"/>
      <c r="AC81" s="334"/>
      <c r="AD81" s="334"/>
      <c r="AE81" s="334"/>
      <c r="AF81" s="334"/>
      <c r="AG81" s="334"/>
    </row>
    <row r="82" spans="1:33" ht="52.5" customHeight="1">
      <c r="A82" s="152" t="s">
        <v>51</v>
      </c>
      <c r="B82" s="153" t="s">
        <v>340</v>
      </c>
      <c r="C82" s="202" t="s">
        <v>103</v>
      </c>
      <c r="D82" s="205" t="s">
        <v>96</v>
      </c>
      <c r="E82" s="149"/>
      <c r="F82" s="149"/>
      <c r="G82" s="149">
        <f t="shared" si="177"/>
        <v>0</v>
      </c>
      <c r="H82" s="149"/>
      <c r="I82" s="149"/>
      <c r="J82" s="149">
        <f t="shared" si="178"/>
        <v>0</v>
      </c>
      <c r="K82" s="351">
        <v>1</v>
      </c>
      <c r="L82" s="351">
        <v>22000</v>
      </c>
      <c r="M82" s="351">
        <f t="shared" si="179"/>
        <v>22000</v>
      </c>
      <c r="N82" s="351">
        <v>1</v>
      </c>
      <c r="O82" s="351">
        <v>22000</v>
      </c>
      <c r="P82" s="351">
        <f t="shared" si="180"/>
        <v>22000</v>
      </c>
      <c r="Q82" s="149"/>
      <c r="R82" s="149"/>
      <c r="S82" s="149"/>
      <c r="T82" s="149"/>
      <c r="U82" s="149"/>
      <c r="V82" s="149"/>
      <c r="W82" s="133">
        <f t="shared" si="183"/>
        <v>22000</v>
      </c>
      <c r="X82" s="151">
        <f t="shared" si="184"/>
        <v>22000</v>
      </c>
      <c r="Y82" s="151">
        <f t="shared" si="159"/>
        <v>0</v>
      </c>
      <c r="Z82" s="272">
        <f t="shared" si="160"/>
        <v>0</v>
      </c>
      <c r="AA82" s="549"/>
      <c r="AB82" s="125"/>
      <c r="AC82" s="125"/>
      <c r="AD82" s="125"/>
      <c r="AE82" s="125"/>
      <c r="AF82" s="125"/>
      <c r="AG82" s="125"/>
    </row>
    <row r="83" spans="1:33" s="335" customFormat="1" ht="51.75" customHeight="1">
      <c r="A83" s="410" t="s">
        <v>51</v>
      </c>
      <c r="B83" s="411" t="s">
        <v>341</v>
      </c>
      <c r="C83" s="356" t="s">
        <v>104</v>
      </c>
      <c r="D83" s="416" t="s">
        <v>96</v>
      </c>
      <c r="E83" s="351">
        <v>1</v>
      </c>
      <c r="F83" s="351">
        <v>25000</v>
      </c>
      <c r="G83" s="351">
        <f t="shared" si="177"/>
        <v>25000</v>
      </c>
      <c r="H83" s="351">
        <v>1</v>
      </c>
      <c r="I83" s="351">
        <v>25000</v>
      </c>
      <c r="J83" s="351">
        <f t="shared" si="178"/>
        <v>25000</v>
      </c>
      <c r="K83" s="351"/>
      <c r="L83" s="351"/>
      <c r="M83" s="351">
        <f t="shared" si="179"/>
        <v>0</v>
      </c>
      <c r="N83" s="351"/>
      <c r="O83" s="351"/>
      <c r="P83" s="351">
        <f t="shared" si="180"/>
        <v>0</v>
      </c>
      <c r="Q83" s="351"/>
      <c r="R83" s="351"/>
      <c r="S83" s="351"/>
      <c r="T83" s="351"/>
      <c r="U83" s="351"/>
      <c r="V83" s="351"/>
      <c r="W83" s="333">
        <f t="shared" si="183"/>
        <v>25000</v>
      </c>
      <c r="X83" s="409">
        <f t="shared" si="184"/>
        <v>25000</v>
      </c>
      <c r="Y83" s="409">
        <f t="shared" si="159"/>
        <v>0</v>
      </c>
      <c r="Z83" s="559">
        <f t="shared" si="160"/>
        <v>0</v>
      </c>
      <c r="AA83" s="547"/>
      <c r="AB83" s="334"/>
      <c r="AC83" s="334"/>
      <c r="AD83" s="334"/>
      <c r="AE83" s="334"/>
      <c r="AF83" s="334"/>
      <c r="AG83" s="334"/>
    </row>
    <row r="84" spans="1:33" s="335" customFormat="1" ht="27" customHeight="1">
      <c r="A84" s="410" t="s">
        <v>51</v>
      </c>
      <c r="B84" s="411" t="s">
        <v>342</v>
      </c>
      <c r="C84" s="349" t="s">
        <v>105</v>
      </c>
      <c r="D84" s="416" t="s">
        <v>91</v>
      </c>
      <c r="E84" s="351">
        <v>1</v>
      </c>
      <c r="F84" s="351">
        <v>2500</v>
      </c>
      <c r="G84" s="351">
        <f t="shared" si="177"/>
        <v>2500</v>
      </c>
      <c r="H84" s="351">
        <v>1</v>
      </c>
      <c r="I84" s="351">
        <v>2160</v>
      </c>
      <c r="J84" s="351">
        <f t="shared" si="178"/>
        <v>2160</v>
      </c>
      <c r="K84" s="351"/>
      <c r="L84" s="351"/>
      <c r="M84" s="351">
        <f t="shared" si="179"/>
        <v>0</v>
      </c>
      <c r="N84" s="351"/>
      <c r="O84" s="351"/>
      <c r="P84" s="351">
        <f t="shared" si="180"/>
        <v>0</v>
      </c>
      <c r="Q84" s="351"/>
      <c r="R84" s="351"/>
      <c r="S84" s="351"/>
      <c r="T84" s="351"/>
      <c r="U84" s="351"/>
      <c r="V84" s="351"/>
      <c r="W84" s="333">
        <f t="shared" si="183"/>
        <v>2500</v>
      </c>
      <c r="X84" s="409">
        <f t="shared" si="184"/>
        <v>2160</v>
      </c>
      <c r="Y84" s="409">
        <f>W84-X84</f>
        <v>340</v>
      </c>
      <c r="Z84" s="559">
        <f t="shared" si="160"/>
        <v>0.13600000000000001</v>
      </c>
      <c r="AA84" s="547"/>
      <c r="AB84" s="334"/>
      <c r="AC84" s="334"/>
      <c r="AD84" s="334"/>
      <c r="AE84" s="334"/>
      <c r="AF84" s="334"/>
      <c r="AG84" s="334"/>
    </row>
    <row r="85" spans="1:33" ht="59.25" customHeight="1">
      <c r="A85" s="152" t="s">
        <v>51</v>
      </c>
      <c r="B85" s="153" t="s">
        <v>343</v>
      </c>
      <c r="C85" s="207" t="s">
        <v>106</v>
      </c>
      <c r="D85" s="205" t="s">
        <v>91</v>
      </c>
      <c r="E85" s="149"/>
      <c r="F85" s="149"/>
      <c r="G85" s="149">
        <f t="shared" si="177"/>
        <v>0</v>
      </c>
      <c r="H85" s="149"/>
      <c r="I85" s="149"/>
      <c r="J85" s="149">
        <f t="shared" si="178"/>
        <v>0</v>
      </c>
      <c r="K85" s="351">
        <v>80</v>
      </c>
      <c r="L85" s="351">
        <v>130</v>
      </c>
      <c r="M85" s="351">
        <f t="shared" si="179"/>
        <v>10400</v>
      </c>
      <c r="N85" s="351">
        <v>123</v>
      </c>
      <c r="O85" s="351">
        <v>131</v>
      </c>
      <c r="P85" s="351">
        <f t="shared" si="180"/>
        <v>16113</v>
      </c>
      <c r="Q85" s="149"/>
      <c r="R85" s="149"/>
      <c r="S85" s="149"/>
      <c r="T85" s="149"/>
      <c r="U85" s="149"/>
      <c r="V85" s="149"/>
      <c r="W85" s="133">
        <f t="shared" si="183"/>
        <v>10400</v>
      </c>
      <c r="X85" s="151">
        <f t="shared" si="184"/>
        <v>16113</v>
      </c>
      <c r="Y85" s="151">
        <f t="shared" si="159"/>
        <v>-5713</v>
      </c>
      <c r="Z85" s="272">
        <f t="shared" si="160"/>
        <v>-0.5493269230769231</v>
      </c>
      <c r="AA85" s="556" t="s">
        <v>976</v>
      </c>
      <c r="AB85" s="125"/>
      <c r="AC85" s="125"/>
      <c r="AD85" s="125"/>
      <c r="AE85" s="125"/>
      <c r="AF85" s="125"/>
      <c r="AG85" s="125"/>
    </row>
    <row r="86" spans="1:33" s="335" customFormat="1" ht="89.25" customHeight="1">
      <c r="A86" s="410" t="s">
        <v>51</v>
      </c>
      <c r="B86" s="411" t="s">
        <v>344</v>
      </c>
      <c r="C86" s="380" t="s">
        <v>108</v>
      </c>
      <c r="D86" s="416" t="s">
        <v>91</v>
      </c>
      <c r="E86" s="351">
        <v>3</v>
      </c>
      <c r="F86" s="351">
        <v>16000</v>
      </c>
      <c r="G86" s="351">
        <f t="shared" si="177"/>
        <v>48000</v>
      </c>
      <c r="H86" s="351">
        <v>2</v>
      </c>
      <c r="I86" s="351">
        <v>16000</v>
      </c>
      <c r="J86" s="351">
        <f t="shared" si="178"/>
        <v>32000</v>
      </c>
      <c r="K86" s="351"/>
      <c r="L86" s="351"/>
      <c r="M86" s="351"/>
      <c r="N86" s="351"/>
      <c r="O86" s="351"/>
      <c r="P86" s="351">
        <f t="shared" si="180"/>
        <v>0</v>
      </c>
      <c r="Q86" s="351"/>
      <c r="R86" s="351"/>
      <c r="S86" s="351"/>
      <c r="T86" s="351"/>
      <c r="U86" s="351"/>
      <c r="V86" s="351"/>
      <c r="W86" s="333">
        <f t="shared" si="183"/>
        <v>48000</v>
      </c>
      <c r="X86" s="409">
        <f t="shared" si="184"/>
        <v>32000</v>
      </c>
      <c r="Y86" s="409">
        <f t="shared" si="159"/>
        <v>16000</v>
      </c>
      <c r="Z86" s="559">
        <f t="shared" si="160"/>
        <v>0.33333333333333331</v>
      </c>
      <c r="AA86" s="547" t="s">
        <v>955</v>
      </c>
      <c r="AB86" s="334"/>
      <c r="AC86" s="334"/>
      <c r="AD86" s="334"/>
      <c r="AE86" s="334"/>
      <c r="AF86" s="334"/>
      <c r="AG86" s="334"/>
    </row>
    <row r="87" spans="1:33" ht="30" customHeight="1">
      <c r="A87" s="156" t="s">
        <v>50</v>
      </c>
      <c r="B87" s="208" t="s">
        <v>346</v>
      </c>
      <c r="C87" s="209" t="s">
        <v>110</v>
      </c>
      <c r="D87" s="210"/>
      <c r="E87" s="110">
        <f>SUM(E88:E90)</f>
        <v>78</v>
      </c>
      <c r="F87" s="111"/>
      <c r="G87" s="112">
        <f t="shared" ref="G87:H87" si="185">SUM(G88:G90)</f>
        <v>28000</v>
      </c>
      <c r="H87" s="110">
        <f t="shared" si="185"/>
        <v>0</v>
      </c>
      <c r="I87" s="111"/>
      <c r="J87" s="112">
        <f t="shared" ref="J87:K87" si="186">SUM(J88:J90)</f>
        <v>0</v>
      </c>
      <c r="K87" s="110">
        <f t="shared" si="186"/>
        <v>0</v>
      </c>
      <c r="L87" s="111"/>
      <c r="M87" s="112">
        <f t="shared" ref="M87:N87" si="187">SUM(M88:M90)</f>
        <v>0</v>
      </c>
      <c r="N87" s="110">
        <f t="shared" si="187"/>
        <v>0</v>
      </c>
      <c r="O87" s="111"/>
      <c r="P87" s="112">
        <f t="shared" ref="P87:Q87" si="188">SUM(P88:P90)</f>
        <v>0</v>
      </c>
      <c r="Q87" s="110">
        <f t="shared" si="188"/>
        <v>0</v>
      </c>
      <c r="R87" s="111"/>
      <c r="S87" s="112">
        <f t="shared" ref="S87:T87" si="189">SUM(S88:S90)</f>
        <v>0</v>
      </c>
      <c r="T87" s="110">
        <f t="shared" si="189"/>
        <v>0</v>
      </c>
      <c r="U87" s="111"/>
      <c r="V87" s="112">
        <f t="shared" ref="V87:X87" si="190">SUM(V88:V90)</f>
        <v>0</v>
      </c>
      <c r="W87" s="112">
        <f t="shared" si="190"/>
        <v>28000</v>
      </c>
      <c r="X87" s="112">
        <f t="shared" si="190"/>
        <v>0</v>
      </c>
      <c r="Y87" s="112">
        <f t="shared" si="159"/>
        <v>28000</v>
      </c>
      <c r="Z87" s="158">
        <f t="shared" si="160"/>
        <v>1</v>
      </c>
      <c r="AA87" s="548"/>
      <c r="AB87" s="114"/>
      <c r="AC87" s="114"/>
      <c r="AD87" s="114"/>
      <c r="AE87" s="114"/>
      <c r="AF87" s="114"/>
      <c r="AG87" s="114"/>
    </row>
    <row r="88" spans="1:33" s="335" customFormat="1" ht="148.5" customHeight="1">
      <c r="A88" s="361" t="s">
        <v>51</v>
      </c>
      <c r="B88" s="386" t="s">
        <v>347</v>
      </c>
      <c r="C88" s="380" t="s">
        <v>111</v>
      </c>
      <c r="D88" s="427" t="s">
        <v>652</v>
      </c>
      <c r="E88" s="377">
        <v>50</v>
      </c>
      <c r="F88" s="375">
        <v>200</v>
      </c>
      <c r="G88" s="376">
        <f t="shared" ref="G88:G90" si="191">E88*F88</f>
        <v>10000</v>
      </c>
      <c r="H88" s="377"/>
      <c r="I88" s="375"/>
      <c r="J88" s="376">
        <f t="shared" ref="J88:J90" si="192">H88*I88</f>
        <v>0</v>
      </c>
      <c r="K88" s="377"/>
      <c r="L88" s="375"/>
      <c r="M88" s="376">
        <f t="shared" ref="M88:M90" si="193">K88*L88</f>
        <v>0</v>
      </c>
      <c r="N88" s="377"/>
      <c r="O88" s="375"/>
      <c r="P88" s="376">
        <f t="shared" ref="P88:P90" si="194">N88*O88</f>
        <v>0</v>
      </c>
      <c r="Q88" s="377"/>
      <c r="R88" s="375"/>
      <c r="S88" s="376">
        <f t="shared" ref="S88:S90" si="195">Q88*R88</f>
        <v>0</v>
      </c>
      <c r="T88" s="377"/>
      <c r="U88" s="375"/>
      <c r="V88" s="376">
        <f t="shared" ref="V88:V90" si="196">T88*U88</f>
        <v>0</v>
      </c>
      <c r="W88" s="392">
        <f t="shared" ref="W88:W90" si="197">G88+M88+S88</f>
        <v>10000</v>
      </c>
      <c r="X88" s="354">
        <f t="shared" ref="X88:X90" si="198">J88+P88+V88</f>
        <v>0</v>
      </c>
      <c r="Y88" s="354">
        <f t="shared" si="159"/>
        <v>10000</v>
      </c>
      <c r="Z88" s="553">
        <f t="shared" si="160"/>
        <v>1</v>
      </c>
      <c r="AA88" s="547" t="s">
        <v>956</v>
      </c>
      <c r="AB88" s="334"/>
      <c r="AC88" s="334"/>
      <c r="AD88" s="334"/>
      <c r="AE88" s="334"/>
      <c r="AF88" s="334"/>
      <c r="AG88" s="334"/>
    </row>
    <row r="89" spans="1:33" s="335" customFormat="1" ht="149.25" customHeight="1">
      <c r="A89" s="361" t="s">
        <v>51</v>
      </c>
      <c r="B89" s="389" t="s">
        <v>348</v>
      </c>
      <c r="C89" s="428" t="s">
        <v>112</v>
      </c>
      <c r="D89" s="424" t="s">
        <v>652</v>
      </c>
      <c r="E89" s="377">
        <v>20</v>
      </c>
      <c r="F89" s="375">
        <v>500</v>
      </c>
      <c r="G89" s="376">
        <f t="shared" si="191"/>
        <v>10000</v>
      </c>
      <c r="H89" s="377"/>
      <c r="I89" s="375"/>
      <c r="J89" s="376">
        <f t="shared" si="192"/>
        <v>0</v>
      </c>
      <c r="K89" s="377"/>
      <c r="L89" s="375"/>
      <c r="M89" s="376">
        <f t="shared" si="193"/>
        <v>0</v>
      </c>
      <c r="N89" s="377"/>
      <c r="O89" s="375"/>
      <c r="P89" s="376">
        <f t="shared" si="194"/>
        <v>0</v>
      </c>
      <c r="Q89" s="377"/>
      <c r="R89" s="375"/>
      <c r="S89" s="376">
        <f t="shared" si="195"/>
        <v>0</v>
      </c>
      <c r="T89" s="377"/>
      <c r="U89" s="375"/>
      <c r="V89" s="376">
        <f t="shared" si="196"/>
        <v>0</v>
      </c>
      <c r="W89" s="392">
        <f t="shared" si="197"/>
        <v>10000</v>
      </c>
      <c r="X89" s="354">
        <f t="shared" si="198"/>
        <v>0</v>
      </c>
      <c r="Y89" s="354">
        <f t="shared" si="159"/>
        <v>10000</v>
      </c>
      <c r="Z89" s="553">
        <f t="shared" si="160"/>
        <v>1</v>
      </c>
      <c r="AA89" s="547" t="s">
        <v>956</v>
      </c>
      <c r="AB89" s="334"/>
      <c r="AC89" s="334"/>
      <c r="AD89" s="334"/>
      <c r="AE89" s="334"/>
      <c r="AF89" s="334"/>
      <c r="AG89" s="334"/>
    </row>
    <row r="90" spans="1:33" s="335" customFormat="1" ht="157.5" customHeight="1" thickBot="1">
      <c r="A90" s="393" t="s">
        <v>51</v>
      </c>
      <c r="B90" s="429" t="s">
        <v>349</v>
      </c>
      <c r="C90" s="356" t="s">
        <v>653</v>
      </c>
      <c r="D90" s="430" t="s">
        <v>652</v>
      </c>
      <c r="E90" s="330">
        <v>8</v>
      </c>
      <c r="F90" s="331">
        <v>1000</v>
      </c>
      <c r="G90" s="332">
        <f t="shared" si="191"/>
        <v>8000</v>
      </c>
      <c r="H90" s="330"/>
      <c r="I90" s="331"/>
      <c r="J90" s="332">
        <f t="shared" si="192"/>
        <v>0</v>
      </c>
      <c r="K90" s="330"/>
      <c r="L90" s="331"/>
      <c r="M90" s="332">
        <f t="shared" si="193"/>
        <v>0</v>
      </c>
      <c r="N90" s="330"/>
      <c r="O90" s="331"/>
      <c r="P90" s="332">
        <f t="shared" si="194"/>
        <v>0</v>
      </c>
      <c r="Q90" s="330"/>
      <c r="R90" s="331"/>
      <c r="S90" s="332">
        <f t="shared" si="195"/>
        <v>0</v>
      </c>
      <c r="T90" s="330"/>
      <c r="U90" s="331"/>
      <c r="V90" s="332">
        <f t="shared" si="196"/>
        <v>0</v>
      </c>
      <c r="W90" s="333">
        <f t="shared" si="197"/>
        <v>8000</v>
      </c>
      <c r="X90" s="354">
        <f t="shared" si="198"/>
        <v>0</v>
      </c>
      <c r="Y90" s="354">
        <f t="shared" si="159"/>
        <v>8000</v>
      </c>
      <c r="Z90" s="553">
        <f t="shared" si="160"/>
        <v>1</v>
      </c>
      <c r="AA90" s="547" t="s">
        <v>956</v>
      </c>
      <c r="AB90" s="334"/>
      <c r="AC90" s="334"/>
      <c r="AD90" s="334"/>
      <c r="AE90" s="334"/>
      <c r="AF90" s="334"/>
      <c r="AG90" s="334"/>
    </row>
    <row r="91" spans="1:33" ht="30" customHeight="1">
      <c r="A91" s="106" t="s">
        <v>50</v>
      </c>
      <c r="B91" s="168" t="s">
        <v>351</v>
      </c>
      <c r="C91" s="203" t="s">
        <v>113</v>
      </c>
      <c r="D91" s="135"/>
      <c r="E91" s="136">
        <f>SUM(E92:E94)</f>
        <v>0</v>
      </c>
      <c r="F91" s="137"/>
      <c r="G91" s="138">
        <f t="shared" ref="G91:H91" si="199">SUM(G92:G94)</f>
        <v>0</v>
      </c>
      <c r="H91" s="136">
        <f t="shared" si="199"/>
        <v>0</v>
      </c>
      <c r="I91" s="137"/>
      <c r="J91" s="138">
        <f t="shared" ref="J91:K91" si="200">SUM(J92:J94)</f>
        <v>0</v>
      </c>
      <c r="K91" s="136">
        <f t="shared" si="200"/>
        <v>0</v>
      </c>
      <c r="L91" s="137"/>
      <c r="M91" s="138">
        <f t="shared" ref="M91:N91" si="201">SUM(M92:M94)</f>
        <v>0</v>
      </c>
      <c r="N91" s="136">
        <f t="shared" si="201"/>
        <v>0</v>
      </c>
      <c r="O91" s="137"/>
      <c r="P91" s="138">
        <f t="shared" ref="P91:Q91" si="202">SUM(P92:P94)</f>
        <v>0</v>
      </c>
      <c r="Q91" s="136">
        <f t="shared" si="202"/>
        <v>0</v>
      </c>
      <c r="R91" s="137"/>
      <c r="S91" s="138">
        <f t="shared" ref="S91:T91" si="203">SUM(S92:S94)</f>
        <v>0</v>
      </c>
      <c r="T91" s="136">
        <f t="shared" si="203"/>
        <v>0</v>
      </c>
      <c r="U91" s="137"/>
      <c r="V91" s="138">
        <f t="shared" ref="V91:X91" si="204">SUM(V92:V94)</f>
        <v>0</v>
      </c>
      <c r="W91" s="138">
        <f t="shared" si="204"/>
        <v>0</v>
      </c>
      <c r="X91" s="138">
        <f t="shared" si="204"/>
        <v>0</v>
      </c>
      <c r="Y91" s="138">
        <f t="shared" si="159"/>
        <v>0</v>
      </c>
      <c r="Z91" s="289" t="e">
        <f t="shared" si="160"/>
        <v>#DIV/0!</v>
      </c>
      <c r="AA91" s="548"/>
      <c r="AB91" s="114"/>
      <c r="AC91" s="114"/>
      <c r="AD91" s="114"/>
      <c r="AE91" s="114"/>
      <c r="AF91" s="114"/>
      <c r="AG91" s="114"/>
    </row>
    <row r="92" spans="1:33" ht="30" customHeight="1">
      <c r="A92" s="115" t="s">
        <v>51</v>
      </c>
      <c r="B92" s="116" t="s">
        <v>352</v>
      </c>
      <c r="C92" s="187" t="s">
        <v>114</v>
      </c>
      <c r="D92" s="211" t="s">
        <v>73</v>
      </c>
      <c r="E92" s="118"/>
      <c r="F92" s="119"/>
      <c r="G92" s="120">
        <f t="shared" ref="G92:G94" si="205">E92*F92</f>
        <v>0</v>
      </c>
      <c r="H92" s="118"/>
      <c r="I92" s="119"/>
      <c r="J92" s="120">
        <f t="shared" ref="J92:J94" si="206">H92*I92</f>
        <v>0</v>
      </c>
      <c r="K92" s="118"/>
      <c r="L92" s="119"/>
      <c r="M92" s="120">
        <f t="shared" ref="M92:M94" si="207">K92*L92</f>
        <v>0</v>
      </c>
      <c r="N92" s="118"/>
      <c r="O92" s="119"/>
      <c r="P92" s="120">
        <f t="shared" ref="P92:P94" si="208">N92*O92</f>
        <v>0</v>
      </c>
      <c r="Q92" s="118"/>
      <c r="R92" s="119"/>
      <c r="S92" s="120">
        <f t="shared" ref="S92:S94" si="209">Q92*R92</f>
        <v>0</v>
      </c>
      <c r="T92" s="118"/>
      <c r="U92" s="119"/>
      <c r="V92" s="120">
        <f t="shared" ref="V92:V94" si="210">T92*U92</f>
        <v>0</v>
      </c>
      <c r="W92" s="121">
        <f t="shared" ref="W92:W94" si="211">G92+M92+S92</f>
        <v>0</v>
      </c>
      <c r="X92" s="122">
        <f t="shared" ref="X92:X94" si="212">J92+P92+V92</f>
        <v>0</v>
      </c>
      <c r="Y92" s="122">
        <f t="shared" si="159"/>
        <v>0</v>
      </c>
      <c r="Z92" s="554" t="e">
        <f t="shared" si="160"/>
        <v>#DIV/0!</v>
      </c>
      <c r="AA92" s="549"/>
      <c r="AB92" s="125"/>
      <c r="AC92" s="125"/>
      <c r="AD92" s="125"/>
      <c r="AE92" s="125"/>
      <c r="AF92" s="125"/>
      <c r="AG92" s="125"/>
    </row>
    <row r="93" spans="1:33" ht="30" customHeight="1">
      <c r="A93" s="115" t="s">
        <v>51</v>
      </c>
      <c r="B93" s="116" t="s">
        <v>353</v>
      </c>
      <c r="C93" s="187" t="s">
        <v>114</v>
      </c>
      <c r="D93" s="211" t="s">
        <v>73</v>
      </c>
      <c r="E93" s="118"/>
      <c r="F93" s="119"/>
      <c r="G93" s="120">
        <f t="shared" si="205"/>
        <v>0</v>
      </c>
      <c r="H93" s="118"/>
      <c r="I93" s="119"/>
      <c r="J93" s="120">
        <f t="shared" si="206"/>
        <v>0</v>
      </c>
      <c r="K93" s="118"/>
      <c r="L93" s="119"/>
      <c r="M93" s="120">
        <f t="shared" si="207"/>
        <v>0</v>
      </c>
      <c r="N93" s="118"/>
      <c r="O93" s="119"/>
      <c r="P93" s="120">
        <f t="shared" si="208"/>
        <v>0</v>
      </c>
      <c r="Q93" s="118"/>
      <c r="R93" s="119"/>
      <c r="S93" s="120">
        <f t="shared" si="209"/>
        <v>0</v>
      </c>
      <c r="T93" s="118"/>
      <c r="U93" s="119"/>
      <c r="V93" s="120">
        <f t="shared" si="210"/>
        <v>0</v>
      </c>
      <c r="W93" s="121">
        <f t="shared" si="211"/>
        <v>0</v>
      </c>
      <c r="X93" s="122">
        <f t="shared" si="212"/>
        <v>0</v>
      </c>
      <c r="Y93" s="122">
        <f t="shared" si="159"/>
        <v>0</v>
      </c>
      <c r="Z93" s="554" t="e">
        <f t="shared" si="160"/>
        <v>#DIV/0!</v>
      </c>
      <c r="AA93" s="549"/>
      <c r="AB93" s="125"/>
      <c r="AC93" s="125"/>
      <c r="AD93" s="125"/>
      <c r="AE93" s="125"/>
      <c r="AF93" s="125"/>
      <c r="AG93" s="125"/>
    </row>
    <row r="94" spans="1:33" ht="30" customHeight="1" thickBot="1">
      <c r="A94" s="127" t="s">
        <v>51</v>
      </c>
      <c r="B94" s="128" t="s">
        <v>354</v>
      </c>
      <c r="C94" s="167" t="s">
        <v>114</v>
      </c>
      <c r="D94" s="212" t="s">
        <v>73</v>
      </c>
      <c r="E94" s="130"/>
      <c r="F94" s="131"/>
      <c r="G94" s="132">
        <f t="shared" si="205"/>
        <v>0</v>
      </c>
      <c r="H94" s="130"/>
      <c r="I94" s="131"/>
      <c r="J94" s="132">
        <f t="shared" si="206"/>
        <v>0</v>
      </c>
      <c r="K94" s="130"/>
      <c r="L94" s="131"/>
      <c r="M94" s="132">
        <f t="shared" si="207"/>
        <v>0</v>
      </c>
      <c r="N94" s="130"/>
      <c r="O94" s="131"/>
      <c r="P94" s="132">
        <f t="shared" si="208"/>
        <v>0</v>
      </c>
      <c r="Q94" s="130"/>
      <c r="R94" s="131"/>
      <c r="S94" s="132">
        <f t="shared" si="209"/>
        <v>0</v>
      </c>
      <c r="T94" s="130"/>
      <c r="U94" s="131"/>
      <c r="V94" s="132">
        <f t="shared" si="210"/>
        <v>0</v>
      </c>
      <c r="W94" s="133">
        <f t="shared" si="211"/>
        <v>0</v>
      </c>
      <c r="X94" s="122">
        <f t="shared" si="212"/>
        <v>0</v>
      </c>
      <c r="Y94" s="122">
        <f t="shared" si="159"/>
        <v>0</v>
      </c>
      <c r="Z94" s="554" t="e">
        <f t="shared" si="160"/>
        <v>#DIV/0!</v>
      </c>
      <c r="AA94" s="549"/>
      <c r="AB94" s="125"/>
      <c r="AC94" s="125"/>
      <c r="AD94" s="125"/>
      <c r="AE94" s="125"/>
      <c r="AF94" s="125"/>
      <c r="AG94" s="125"/>
    </row>
    <row r="95" spans="1:33" ht="30" customHeight="1">
      <c r="A95" s="106" t="s">
        <v>50</v>
      </c>
      <c r="B95" s="168" t="s">
        <v>355</v>
      </c>
      <c r="C95" s="145" t="s">
        <v>115</v>
      </c>
      <c r="D95" s="135"/>
      <c r="E95" s="136">
        <f>SUM(E96:E98)</f>
        <v>6</v>
      </c>
      <c r="F95" s="137"/>
      <c r="G95" s="138">
        <f t="shared" ref="G95:H95" si="213">SUM(G96:G98)</f>
        <v>36000</v>
      </c>
      <c r="H95" s="136">
        <f t="shared" si="213"/>
        <v>6</v>
      </c>
      <c r="I95" s="137"/>
      <c r="J95" s="138">
        <f t="shared" ref="J95:K95" si="214">SUM(J96:J98)</f>
        <v>36000</v>
      </c>
      <c r="K95" s="136">
        <f t="shared" si="214"/>
        <v>0</v>
      </c>
      <c r="L95" s="137"/>
      <c r="M95" s="138">
        <f t="shared" ref="M95:N95" si="215">SUM(M96:M98)</f>
        <v>0</v>
      </c>
      <c r="N95" s="136">
        <f t="shared" si="215"/>
        <v>0</v>
      </c>
      <c r="O95" s="137"/>
      <c r="P95" s="138">
        <f t="shared" ref="P95:Q95" si="216">SUM(P96:P98)</f>
        <v>0</v>
      </c>
      <c r="Q95" s="136">
        <f t="shared" si="216"/>
        <v>0</v>
      </c>
      <c r="R95" s="137"/>
      <c r="S95" s="138">
        <f t="shared" ref="S95:T95" si="217">SUM(S96:S98)</f>
        <v>0</v>
      </c>
      <c r="T95" s="136">
        <f t="shared" si="217"/>
        <v>0</v>
      </c>
      <c r="U95" s="137"/>
      <c r="V95" s="138">
        <f t="shared" ref="V95:X95" si="218">SUM(V96:V98)</f>
        <v>0</v>
      </c>
      <c r="W95" s="138">
        <f t="shared" si="218"/>
        <v>36000</v>
      </c>
      <c r="X95" s="138">
        <f t="shared" si="218"/>
        <v>36000</v>
      </c>
      <c r="Y95" s="138">
        <f t="shared" si="159"/>
        <v>0</v>
      </c>
      <c r="Z95" s="289">
        <f t="shared" si="160"/>
        <v>0</v>
      </c>
      <c r="AA95" s="548"/>
      <c r="AB95" s="114"/>
      <c r="AC95" s="114"/>
      <c r="AD95" s="114"/>
      <c r="AE95" s="114"/>
      <c r="AF95" s="114"/>
      <c r="AG95" s="114"/>
    </row>
    <row r="96" spans="1:33" s="335" customFormat="1" ht="51.75" customHeight="1">
      <c r="A96" s="361" t="s">
        <v>51</v>
      </c>
      <c r="B96" s="386" t="s">
        <v>356</v>
      </c>
      <c r="C96" s="380" t="s">
        <v>116</v>
      </c>
      <c r="D96" s="427" t="s">
        <v>73</v>
      </c>
      <c r="E96" s="377">
        <v>6</v>
      </c>
      <c r="F96" s="375">
        <v>6000</v>
      </c>
      <c r="G96" s="376">
        <f t="shared" ref="G96:G98" si="219">E96*F96</f>
        <v>36000</v>
      </c>
      <c r="H96" s="377">
        <v>6</v>
      </c>
      <c r="I96" s="375">
        <v>6000</v>
      </c>
      <c r="J96" s="376">
        <f t="shared" ref="J96:J98" si="220">H96*I96</f>
        <v>36000</v>
      </c>
      <c r="K96" s="377"/>
      <c r="L96" s="375"/>
      <c r="M96" s="376">
        <f t="shared" ref="M96:M98" si="221">K96*L96</f>
        <v>0</v>
      </c>
      <c r="N96" s="377"/>
      <c r="O96" s="375"/>
      <c r="P96" s="376">
        <f t="shared" ref="P96:P98" si="222">N96*O96</f>
        <v>0</v>
      </c>
      <c r="Q96" s="377"/>
      <c r="R96" s="375"/>
      <c r="S96" s="376">
        <f t="shared" ref="S96:S98" si="223">Q96*R96</f>
        <v>0</v>
      </c>
      <c r="T96" s="377"/>
      <c r="U96" s="375"/>
      <c r="V96" s="376">
        <f t="shared" ref="V96:V98" si="224">T96*U96</f>
        <v>0</v>
      </c>
      <c r="W96" s="392">
        <f t="shared" ref="W96:W98" si="225">G96+M96+S96</f>
        <v>36000</v>
      </c>
      <c r="X96" s="354">
        <f t="shared" ref="X96:X98" si="226">J96+P96+V96</f>
        <v>36000</v>
      </c>
      <c r="Y96" s="354">
        <f t="shared" si="159"/>
        <v>0</v>
      </c>
      <c r="Z96" s="553">
        <f t="shared" si="160"/>
        <v>0</v>
      </c>
      <c r="AA96" s="547"/>
      <c r="AB96" s="334"/>
      <c r="AC96" s="334"/>
      <c r="AD96" s="334"/>
      <c r="AE96" s="334"/>
      <c r="AF96" s="334"/>
      <c r="AG96" s="334"/>
    </row>
    <row r="97" spans="1:33" ht="30" customHeight="1">
      <c r="A97" s="115" t="s">
        <v>51</v>
      </c>
      <c r="B97" s="116" t="s">
        <v>357</v>
      </c>
      <c r="C97" s="187" t="s">
        <v>114</v>
      </c>
      <c r="D97" s="211" t="s">
        <v>73</v>
      </c>
      <c r="E97" s="118"/>
      <c r="F97" s="119"/>
      <c r="G97" s="120">
        <f t="shared" si="219"/>
        <v>0</v>
      </c>
      <c r="H97" s="118"/>
      <c r="I97" s="119"/>
      <c r="J97" s="120">
        <f t="shared" si="220"/>
        <v>0</v>
      </c>
      <c r="K97" s="118"/>
      <c r="L97" s="119"/>
      <c r="M97" s="120">
        <f t="shared" si="221"/>
        <v>0</v>
      </c>
      <c r="N97" s="118"/>
      <c r="O97" s="119"/>
      <c r="P97" s="120">
        <f t="shared" si="222"/>
        <v>0</v>
      </c>
      <c r="Q97" s="118"/>
      <c r="R97" s="119"/>
      <c r="S97" s="120">
        <f t="shared" si="223"/>
        <v>0</v>
      </c>
      <c r="T97" s="118"/>
      <c r="U97" s="119"/>
      <c r="V97" s="120">
        <f t="shared" si="224"/>
        <v>0</v>
      </c>
      <c r="W97" s="121">
        <f t="shared" si="225"/>
        <v>0</v>
      </c>
      <c r="X97" s="122">
        <f t="shared" si="226"/>
        <v>0</v>
      </c>
      <c r="Y97" s="122">
        <f t="shared" si="159"/>
        <v>0</v>
      </c>
      <c r="Z97" s="554" t="e">
        <f t="shared" si="160"/>
        <v>#DIV/0!</v>
      </c>
      <c r="AA97" s="549"/>
      <c r="AB97" s="125"/>
      <c r="AC97" s="125"/>
      <c r="AD97" s="125"/>
      <c r="AE97" s="125"/>
      <c r="AF97" s="125"/>
      <c r="AG97" s="125"/>
    </row>
    <row r="98" spans="1:33" ht="30" customHeight="1" thickBot="1">
      <c r="A98" s="127" t="s">
        <v>51</v>
      </c>
      <c r="B98" s="166" t="s">
        <v>358</v>
      </c>
      <c r="C98" s="167" t="s">
        <v>114</v>
      </c>
      <c r="D98" s="212" t="s">
        <v>73</v>
      </c>
      <c r="E98" s="130"/>
      <c r="F98" s="131"/>
      <c r="G98" s="132">
        <f t="shared" si="219"/>
        <v>0</v>
      </c>
      <c r="H98" s="130"/>
      <c r="I98" s="131"/>
      <c r="J98" s="132">
        <f t="shared" si="220"/>
        <v>0</v>
      </c>
      <c r="K98" s="130"/>
      <c r="L98" s="131"/>
      <c r="M98" s="132">
        <f t="shared" si="221"/>
        <v>0</v>
      </c>
      <c r="N98" s="130"/>
      <c r="O98" s="131"/>
      <c r="P98" s="132">
        <f t="shared" si="222"/>
        <v>0</v>
      </c>
      <c r="Q98" s="130"/>
      <c r="R98" s="131"/>
      <c r="S98" s="132">
        <f t="shared" si="223"/>
        <v>0</v>
      </c>
      <c r="T98" s="130"/>
      <c r="U98" s="131"/>
      <c r="V98" s="132">
        <f t="shared" si="224"/>
        <v>0</v>
      </c>
      <c r="W98" s="133">
        <f t="shared" si="225"/>
        <v>0</v>
      </c>
      <c r="X98" s="122">
        <f t="shared" si="226"/>
        <v>0</v>
      </c>
      <c r="Y98" s="151">
        <f t="shared" si="159"/>
        <v>0</v>
      </c>
      <c r="Z98" s="554" t="e">
        <f t="shared" si="160"/>
        <v>#DIV/0!</v>
      </c>
      <c r="AA98" s="549"/>
      <c r="AB98" s="125"/>
      <c r="AC98" s="125"/>
      <c r="AD98" s="125"/>
      <c r="AE98" s="125"/>
      <c r="AF98" s="125"/>
      <c r="AG98" s="125"/>
    </row>
    <row r="99" spans="1:33" ht="30" customHeight="1" thickBot="1">
      <c r="A99" s="170" t="s">
        <v>117</v>
      </c>
      <c r="B99" s="171"/>
      <c r="C99" s="172"/>
      <c r="D99" s="173"/>
      <c r="E99" s="177">
        <f>E95+E91+E87+E71+E64</f>
        <v>342</v>
      </c>
      <c r="F99" s="189"/>
      <c r="G99" s="176">
        <f>G95+G91+G87+G71+G64</f>
        <v>546450</v>
      </c>
      <c r="H99" s="176">
        <f t="shared" ref="H99:J99" si="227">H95+H91+H87+H71+H64</f>
        <v>246</v>
      </c>
      <c r="I99" s="176"/>
      <c r="J99" s="176">
        <f t="shared" si="227"/>
        <v>482550</v>
      </c>
      <c r="K99" s="190">
        <f>K95+K91+K87+K71+K64</f>
        <v>144</v>
      </c>
      <c r="L99" s="189"/>
      <c r="M99" s="176">
        <f>M95+M91+M87+M71+M64</f>
        <v>115550</v>
      </c>
      <c r="N99" s="190">
        <f>N95+N91+N87+N71+N64</f>
        <v>187</v>
      </c>
      <c r="O99" s="189"/>
      <c r="P99" s="176">
        <f>P95+P91+P87+P71+P64</f>
        <v>121833</v>
      </c>
      <c r="Q99" s="190">
        <f>Q95+Q91+Q87+Q71+Q64</f>
        <v>0</v>
      </c>
      <c r="R99" s="189"/>
      <c r="S99" s="176">
        <f>S95+S91+S87+S71+S64</f>
        <v>0</v>
      </c>
      <c r="T99" s="190">
        <f>T95+T91+T87+T71+T64</f>
        <v>0</v>
      </c>
      <c r="U99" s="189"/>
      <c r="V99" s="176">
        <f>V95+V91+V87+V71+V64</f>
        <v>0</v>
      </c>
      <c r="W99" s="191">
        <f>W95+W91+W87+W71+W64</f>
        <v>662000</v>
      </c>
      <c r="X99" s="191">
        <f>X95+X91+X87+X71+X64</f>
        <v>604383</v>
      </c>
      <c r="Y99" s="213">
        <f t="shared" si="159"/>
        <v>57617</v>
      </c>
      <c r="Z99" s="591">
        <f t="shared" si="160"/>
        <v>8.7034743202416914E-2</v>
      </c>
      <c r="AA99" s="577"/>
      <c r="AB99" s="76"/>
      <c r="AC99" s="76"/>
      <c r="AD99" s="76"/>
      <c r="AE99" s="76"/>
      <c r="AF99" s="76"/>
      <c r="AG99" s="76"/>
    </row>
    <row r="100" spans="1:33" ht="30" customHeight="1" thickBot="1">
      <c r="A100" s="214" t="s">
        <v>49</v>
      </c>
      <c r="B100" s="215">
        <v>5</v>
      </c>
      <c r="C100" s="216" t="s">
        <v>654</v>
      </c>
      <c r="D100" s="102"/>
      <c r="E100" s="103"/>
      <c r="F100" s="103"/>
      <c r="G100" s="103"/>
      <c r="H100" s="103"/>
      <c r="I100" s="103"/>
      <c r="J100" s="103"/>
      <c r="K100" s="103"/>
      <c r="L100" s="103"/>
      <c r="M100" s="103"/>
      <c r="N100" s="103"/>
      <c r="O100" s="103"/>
      <c r="P100" s="103"/>
      <c r="Q100" s="103"/>
      <c r="R100" s="103"/>
      <c r="S100" s="103"/>
      <c r="T100" s="103"/>
      <c r="U100" s="103"/>
      <c r="V100" s="103"/>
      <c r="W100" s="104"/>
      <c r="X100" s="104"/>
      <c r="Y100" s="217"/>
      <c r="Z100" s="104"/>
      <c r="AA100" s="578"/>
      <c r="AB100" s="76"/>
      <c r="AC100" s="76"/>
      <c r="AD100" s="76"/>
      <c r="AE100" s="76"/>
      <c r="AF100" s="76"/>
      <c r="AG100" s="76"/>
    </row>
    <row r="101" spans="1:33" ht="30" customHeight="1">
      <c r="A101" s="106" t="s">
        <v>50</v>
      </c>
      <c r="B101" s="168" t="s">
        <v>359</v>
      </c>
      <c r="C101" s="134" t="s">
        <v>118</v>
      </c>
      <c r="D101" s="135"/>
      <c r="E101" s="136">
        <f>SUM(E102:E104)</f>
        <v>0</v>
      </c>
      <c r="F101" s="137"/>
      <c r="G101" s="138">
        <f t="shared" ref="G101:H101" si="228">SUM(G102:G104)</f>
        <v>0</v>
      </c>
      <c r="H101" s="136">
        <f t="shared" si="228"/>
        <v>0</v>
      </c>
      <c r="I101" s="137"/>
      <c r="J101" s="138">
        <f t="shared" ref="J101:K101" si="229">SUM(J102:J104)</f>
        <v>0</v>
      </c>
      <c r="K101" s="136">
        <f t="shared" si="229"/>
        <v>0</v>
      </c>
      <c r="L101" s="137"/>
      <c r="M101" s="138">
        <f t="shared" ref="M101:N101" si="230">SUM(M102:M104)</f>
        <v>0</v>
      </c>
      <c r="N101" s="136">
        <f t="shared" si="230"/>
        <v>0</v>
      </c>
      <c r="O101" s="137"/>
      <c r="P101" s="138">
        <f t="shared" ref="P101:Q101" si="231">SUM(P102:P104)</f>
        <v>0</v>
      </c>
      <c r="Q101" s="136">
        <f t="shared" si="231"/>
        <v>0</v>
      </c>
      <c r="R101" s="137"/>
      <c r="S101" s="138">
        <f t="shared" ref="S101:T101" si="232">SUM(S102:S104)</f>
        <v>0</v>
      </c>
      <c r="T101" s="136">
        <f t="shared" si="232"/>
        <v>0</v>
      </c>
      <c r="U101" s="137"/>
      <c r="V101" s="138">
        <f t="shared" ref="V101:X101" si="233">SUM(V102:V104)</f>
        <v>0</v>
      </c>
      <c r="W101" s="218">
        <f t="shared" si="233"/>
        <v>0</v>
      </c>
      <c r="X101" s="218">
        <f t="shared" si="233"/>
        <v>0</v>
      </c>
      <c r="Y101" s="218">
        <f t="shared" ref="Y101:Y113" si="234">W101-X101</f>
        <v>0</v>
      </c>
      <c r="Z101" s="582" t="e">
        <f t="shared" ref="Z101:Z113" si="235">Y101/W101</f>
        <v>#DIV/0!</v>
      </c>
      <c r="AA101" s="548"/>
      <c r="AB101" s="125"/>
      <c r="AC101" s="125"/>
      <c r="AD101" s="125"/>
      <c r="AE101" s="125"/>
      <c r="AF101" s="125"/>
      <c r="AG101" s="125"/>
    </row>
    <row r="102" spans="1:33" ht="30" customHeight="1">
      <c r="A102" s="115" t="s">
        <v>51</v>
      </c>
      <c r="B102" s="116" t="s">
        <v>360</v>
      </c>
      <c r="C102" s="219" t="s">
        <v>119</v>
      </c>
      <c r="D102" s="211" t="s">
        <v>120</v>
      </c>
      <c r="E102" s="118"/>
      <c r="F102" s="119"/>
      <c r="G102" s="120">
        <f t="shared" ref="G102:G104" si="236">E102*F102</f>
        <v>0</v>
      </c>
      <c r="H102" s="118"/>
      <c r="I102" s="119"/>
      <c r="J102" s="120">
        <f t="shared" ref="J102:J104" si="237">H102*I102</f>
        <v>0</v>
      </c>
      <c r="K102" s="118"/>
      <c r="L102" s="119"/>
      <c r="M102" s="120">
        <f t="shared" ref="M102:M104" si="238">K102*L102</f>
        <v>0</v>
      </c>
      <c r="N102" s="118"/>
      <c r="O102" s="119"/>
      <c r="P102" s="120">
        <f t="shared" ref="P102:P104" si="239">N102*O102</f>
        <v>0</v>
      </c>
      <c r="Q102" s="118"/>
      <c r="R102" s="119"/>
      <c r="S102" s="120">
        <f t="shared" ref="S102:S104" si="240">Q102*R102</f>
        <v>0</v>
      </c>
      <c r="T102" s="118"/>
      <c r="U102" s="119"/>
      <c r="V102" s="120">
        <f t="shared" ref="V102:V104" si="241">T102*U102</f>
        <v>0</v>
      </c>
      <c r="W102" s="121">
        <f t="shared" ref="W102:W104" si="242">G102+M102+S102</f>
        <v>0</v>
      </c>
      <c r="X102" s="122">
        <f t="shared" ref="X102:X104" si="243">J102+P102+V102</f>
        <v>0</v>
      </c>
      <c r="Y102" s="122">
        <f t="shared" si="234"/>
        <v>0</v>
      </c>
      <c r="Z102" s="554" t="e">
        <f t="shared" si="235"/>
        <v>#DIV/0!</v>
      </c>
      <c r="AA102" s="549"/>
      <c r="AB102" s="125"/>
      <c r="AC102" s="125"/>
      <c r="AD102" s="125"/>
      <c r="AE102" s="125"/>
      <c r="AF102" s="125"/>
      <c r="AG102" s="125"/>
    </row>
    <row r="103" spans="1:33" ht="30" customHeight="1">
      <c r="A103" s="115" t="s">
        <v>51</v>
      </c>
      <c r="B103" s="116" t="s">
        <v>361</v>
      </c>
      <c r="C103" s="219" t="s">
        <v>119</v>
      </c>
      <c r="D103" s="211" t="s">
        <v>120</v>
      </c>
      <c r="E103" s="118"/>
      <c r="F103" s="119"/>
      <c r="G103" s="120">
        <f t="shared" si="236"/>
        <v>0</v>
      </c>
      <c r="H103" s="118"/>
      <c r="I103" s="119"/>
      <c r="J103" s="120">
        <f t="shared" si="237"/>
        <v>0</v>
      </c>
      <c r="K103" s="118"/>
      <c r="L103" s="119"/>
      <c r="M103" s="120">
        <f t="shared" si="238"/>
        <v>0</v>
      </c>
      <c r="N103" s="118"/>
      <c r="O103" s="119"/>
      <c r="P103" s="120">
        <f t="shared" si="239"/>
        <v>0</v>
      </c>
      <c r="Q103" s="118"/>
      <c r="R103" s="119"/>
      <c r="S103" s="120">
        <f t="shared" si="240"/>
        <v>0</v>
      </c>
      <c r="T103" s="118"/>
      <c r="U103" s="119"/>
      <c r="V103" s="120">
        <f t="shared" si="241"/>
        <v>0</v>
      </c>
      <c r="W103" s="121">
        <f t="shared" si="242"/>
        <v>0</v>
      </c>
      <c r="X103" s="122">
        <f t="shared" si="243"/>
        <v>0</v>
      </c>
      <c r="Y103" s="122">
        <f t="shared" si="234"/>
        <v>0</v>
      </c>
      <c r="Z103" s="554" t="e">
        <f t="shared" si="235"/>
        <v>#DIV/0!</v>
      </c>
      <c r="AA103" s="549"/>
      <c r="AB103" s="125"/>
      <c r="AC103" s="125"/>
      <c r="AD103" s="125"/>
      <c r="AE103" s="125"/>
      <c r="AF103" s="125"/>
      <c r="AG103" s="125"/>
    </row>
    <row r="104" spans="1:33" ht="30" customHeight="1" thickBot="1">
      <c r="A104" s="127" t="s">
        <v>51</v>
      </c>
      <c r="B104" s="128" t="s">
        <v>362</v>
      </c>
      <c r="C104" s="219" t="s">
        <v>119</v>
      </c>
      <c r="D104" s="212" t="s">
        <v>120</v>
      </c>
      <c r="E104" s="130"/>
      <c r="F104" s="131"/>
      <c r="G104" s="132">
        <f t="shared" si="236"/>
        <v>0</v>
      </c>
      <c r="H104" s="130"/>
      <c r="I104" s="131"/>
      <c r="J104" s="132">
        <f t="shared" si="237"/>
        <v>0</v>
      </c>
      <c r="K104" s="130"/>
      <c r="L104" s="131"/>
      <c r="M104" s="132">
        <f t="shared" si="238"/>
        <v>0</v>
      </c>
      <c r="N104" s="130"/>
      <c r="O104" s="131"/>
      <c r="P104" s="132">
        <f t="shared" si="239"/>
        <v>0</v>
      </c>
      <c r="Q104" s="130"/>
      <c r="R104" s="131"/>
      <c r="S104" s="132">
        <f t="shared" si="240"/>
        <v>0</v>
      </c>
      <c r="T104" s="130"/>
      <c r="U104" s="131"/>
      <c r="V104" s="132">
        <f t="shared" si="241"/>
        <v>0</v>
      </c>
      <c r="W104" s="133">
        <f t="shared" si="242"/>
        <v>0</v>
      </c>
      <c r="X104" s="122">
        <f t="shared" si="243"/>
        <v>0</v>
      </c>
      <c r="Y104" s="122">
        <f t="shared" si="234"/>
        <v>0</v>
      </c>
      <c r="Z104" s="554" t="e">
        <f t="shared" si="235"/>
        <v>#DIV/0!</v>
      </c>
      <c r="AA104" s="549"/>
      <c r="AB104" s="125"/>
      <c r="AC104" s="125"/>
      <c r="AD104" s="125"/>
      <c r="AE104" s="125"/>
      <c r="AF104" s="125"/>
      <c r="AG104" s="125"/>
    </row>
    <row r="105" spans="1:33" ht="30" customHeight="1" thickBot="1">
      <c r="A105" s="106" t="s">
        <v>50</v>
      </c>
      <c r="B105" s="168" t="s">
        <v>363</v>
      </c>
      <c r="C105" s="134" t="s">
        <v>121</v>
      </c>
      <c r="D105" s="220"/>
      <c r="E105" s="221">
        <f>SUM(E106:E108)</f>
        <v>0</v>
      </c>
      <c r="F105" s="137"/>
      <c r="G105" s="138">
        <f t="shared" ref="G105:H105" si="244">SUM(G106:G108)</f>
        <v>0</v>
      </c>
      <c r="H105" s="221">
        <f t="shared" si="244"/>
        <v>0</v>
      </c>
      <c r="I105" s="137"/>
      <c r="J105" s="138">
        <f t="shared" ref="J105:K105" si="245">SUM(J106:J108)</f>
        <v>0</v>
      </c>
      <c r="K105" s="221">
        <f t="shared" si="245"/>
        <v>0</v>
      </c>
      <c r="L105" s="137"/>
      <c r="M105" s="138">
        <f t="shared" ref="M105:N105" si="246">SUM(M106:M108)</f>
        <v>0</v>
      </c>
      <c r="N105" s="221">
        <f t="shared" si="246"/>
        <v>0</v>
      </c>
      <c r="O105" s="137"/>
      <c r="P105" s="138">
        <f t="shared" ref="P105:Q105" si="247">SUM(P106:P108)</f>
        <v>0</v>
      </c>
      <c r="Q105" s="221">
        <f t="shared" si="247"/>
        <v>0</v>
      </c>
      <c r="R105" s="137"/>
      <c r="S105" s="138">
        <f t="shared" ref="S105:T105" si="248">SUM(S106:S108)</f>
        <v>0</v>
      </c>
      <c r="T105" s="221">
        <f t="shared" si="248"/>
        <v>0</v>
      </c>
      <c r="U105" s="137"/>
      <c r="V105" s="138">
        <f t="shared" ref="V105:X105" si="249">SUM(V106:V108)</f>
        <v>0</v>
      </c>
      <c r="W105" s="218">
        <f t="shared" si="249"/>
        <v>0</v>
      </c>
      <c r="X105" s="218">
        <f t="shared" si="249"/>
        <v>0</v>
      </c>
      <c r="Y105" s="218">
        <f t="shared" si="234"/>
        <v>0</v>
      </c>
      <c r="Z105" s="592" t="e">
        <f t="shared" si="235"/>
        <v>#DIV/0!</v>
      </c>
      <c r="AA105" s="548"/>
      <c r="AB105" s="125"/>
      <c r="AC105" s="125"/>
      <c r="AD105" s="125"/>
      <c r="AE105" s="125"/>
      <c r="AF105" s="125"/>
      <c r="AG105" s="125"/>
    </row>
    <row r="106" spans="1:33" ht="30" customHeight="1">
      <c r="A106" s="115" t="s">
        <v>51</v>
      </c>
      <c r="B106" s="116" t="s">
        <v>364</v>
      </c>
      <c r="C106" s="219" t="s">
        <v>122</v>
      </c>
      <c r="D106" s="222" t="s">
        <v>73</v>
      </c>
      <c r="E106" s="118"/>
      <c r="F106" s="119"/>
      <c r="G106" s="120">
        <f t="shared" ref="G106:G108" si="250">E106*F106</f>
        <v>0</v>
      </c>
      <c r="H106" s="118"/>
      <c r="I106" s="119"/>
      <c r="J106" s="120">
        <f t="shared" ref="J106:J108" si="251">H106*I106</f>
        <v>0</v>
      </c>
      <c r="K106" s="118"/>
      <c r="L106" s="119"/>
      <c r="M106" s="120">
        <f t="shared" ref="M106:M108" si="252">K106*L106</f>
        <v>0</v>
      </c>
      <c r="N106" s="118"/>
      <c r="O106" s="119"/>
      <c r="P106" s="120">
        <f t="shared" ref="P106:P108" si="253">N106*O106</f>
        <v>0</v>
      </c>
      <c r="Q106" s="118"/>
      <c r="R106" s="119"/>
      <c r="S106" s="120">
        <f t="shared" ref="S106:S108" si="254">Q106*R106</f>
        <v>0</v>
      </c>
      <c r="T106" s="118"/>
      <c r="U106" s="119"/>
      <c r="V106" s="120">
        <f t="shared" ref="V106:V108" si="255">T106*U106</f>
        <v>0</v>
      </c>
      <c r="W106" s="121">
        <f t="shared" ref="W106:W108" si="256">G106+M106+S106</f>
        <v>0</v>
      </c>
      <c r="X106" s="122">
        <f t="shared" ref="X106:X108" si="257">J106+P106+V106</f>
        <v>0</v>
      </c>
      <c r="Y106" s="122">
        <f t="shared" si="234"/>
        <v>0</v>
      </c>
      <c r="Z106" s="554" t="e">
        <f t="shared" si="235"/>
        <v>#DIV/0!</v>
      </c>
      <c r="AA106" s="549"/>
      <c r="AB106" s="125"/>
      <c r="AC106" s="125"/>
      <c r="AD106" s="125"/>
      <c r="AE106" s="125"/>
      <c r="AF106" s="125"/>
      <c r="AG106" s="125"/>
    </row>
    <row r="107" spans="1:33" ht="30" customHeight="1">
      <c r="A107" s="115" t="s">
        <v>51</v>
      </c>
      <c r="B107" s="116" t="s">
        <v>365</v>
      </c>
      <c r="C107" s="187" t="s">
        <v>122</v>
      </c>
      <c r="D107" s="211" t="s">
        <v>73</v>
      </c>
      <c r="E107" s="118"/>
      <c r="F107" s="119"/>
      <c r="G107" s="120">
        <f t="shared" si="250"/>
        <v>0</v>
      </c>
      <c r="H107" s="118"/>
      <c r="I107" s="119"/>
      <c r="J107" s="120">
        <f t="shared" si="251"/>
        <v>0</v>
      </c>
      <c r="K107" s="118"/>
      <c r="L107" s="119"/>
      <c r="M107" s="120">
        <f t="shared" si="252"/>
        <v>0</v>
      </c>
      <c r="N107" s="118"/>
      <c r="O107" s="119"/>
      <c r="P107" s="120">
        <f t="shared" si="253"/>
        <v>0</v>
      </c>
      <c r="Q107" s="118"/>
      <c r="R107" s="119"/>
      <c r="S107" s="120">
        <f t="shared" si="254"/>
        <v>0</v>
      </c>
      <c r="T107" s="118"/>
      <c r="U107" s="119"/>
      <c r="V107" s="120">
        <f t="shared" si="255"/>
        <v>0</v>
      </c>
      <c r="W107" s="121">
        <f t="shared" si="256"/>
        <v>0</v>
      </c>
      <c r="X107" s="122">
        <f t="shared" si="257"/>
        <v>0</v>
      </c>
      <c r="Y107" s="122">
        <f t="shared" si="234"/>
        <v>0</v>
      </c>
      <c r="Z107" s="554" t="e">
        <f t="shared" si="235"/>
        <v>#DIV/0!</v>
      </c>
      <c r="AA107" s="549"/>
      <c r="AB107" s="125"/>
      <c r="AC107" s="125"/>
      <c r="AD107" s="125"/>
      <c r="AE107" s="125"/>
      <c r="AF107" s="125"/>
      <c r="AG107" s="125"/>
    </row>
    <row r="108" spans="1:33" ht="30" customHeight="1" thickBot="1">
      <c r="A108" s="127" t="s">
        <v>51</v>
      </c>
      <c r="B108" s="128" t="s">
        <v>366</v>
      </c>
      <c r="C108" s="167" t="s">
        <v>122</v>
      </c>
      <c r="D108" s="212" t="s">
        <v>73</v>
      </c>
      <c r="E108" s="130"/>
      <c r="F108" s="131"/>
      <c r="G108" s="132">
        <f t="shared" si="250"/>
        <v>0</v>
      </c>
      <c r="H108" s="130"/>
      <c r="I108" s="131"/>
      <c r="J108" s="132">
        <f t="shared" si="251"/>
        <v>0</v>
      </c>
      <c r="K108" s="130"/>
      <c r="L108" s="131"/>
      <c r="M108" s="132">
        <f t="shared" si="252"/>
        <v>0</v>
      </c>
      <c r="N108" s="130"/>
      <c r="O108" s="131"/>
      <c r="P108" s="132">
        <f t="shared" si="253"/>
        <v>0</v>
      </c>
      <c r="Q108" s="130"/>
      <c r="R108" s="131"/>
      <c r="S108" s="132">
        <f t="shared" si="254"/>
        <v>0</v>
      </c>
      <c r="T108" s="130"/>
      <c r="U108" s="131"/>
      <c r="V108" s="132">
        <f t="shared" si="255"/>
        <v>0</v>
      </c>
      <c r="W108" s="133">
        <f t="shared" si="256"/>
        <v>0</v>
      </c>
      <c r="X108" s="122">
        <f t="shared" si="257"/>
        <v>0</v>
      </c>
      <c r="Y108" s="122">
        <f t="shared" si="234"/>
        <v>0</v>
      </c>
      <c r="Z108" s="554" t="e">
        <f t="shared" si="235"/>
        <v>#DIV/0!</v>
      </c>
      <c r="AA108" s="549"/>
      <c r="AB108" s="125"/>
      <c r="AC108" s="125"/>
      <c r="AD108" s="125"/>
      <c r="AE108" s="125"/>
      <c r="AF108" s="125"/>
      <c r="AG108" s="125"/>
    </row>
    <row r="109" spans="1:33" ht="30" customHeight="1">
      <c r="A109" s="106" t="s">
        <v>50</v>
      </c>
      <c r="B109" s="168" t="s">
        <v>367</v>
      </c>
      <c r="C109" s="223" t="s">
        <v>123</v>
      </c>
      <c r="D109" s="224"/>
      <c r="E109" s="221">
        <f>SUM(E110:E112)</f>
        <v>0</v>
      </c>
      <c r="F109" s="137"/>
      <c r="G109" s="138">
        <f t="shared" ref="G109:H109" si="258">SUM(G110:G112)</f>
        <v>0</v>
      </c>
      <c r="H109" s="221">
        <f t="shared" si="258"/>
        <v>0</v>
      </c>
      <c r="I109" s="137"/>
      <c r="J109" s="138">
        <f t="shared" ref="J109:K109" si="259">SUM(J110:J112)</f>
        <v>0</v>
      </c>
      <c r="K109" s="221">
        <f t="shared" si="259"/>
        <v>0</v>
      </c>
      <c r="L109" s="137"/>
      <c r="M109" s="138">
        <f t="shared" ref="M109:N109" si="260">SUM(M110:M112)</f>
        <v>0</v>
      </c>
      <c r="N109" s="221">
        <f t="shared" si="260"/>
        <v>0</v>
      </c>
      <c r="O109" s="137"/>
      <c r="P109" s="138">
        <f t="shared" ref="P109:Q109" si="261">SUM(P110:P112)</f>
        <v>0</v>
      </c>
      <c r="Q109" s="221">
        <f t="shared" si="261"/>
        <v>0</v>
      </c>
      <c r="R109" s="137"/>
      <c r="S109" s="138">
        <f t="shared" ref="S109:T109" si="262">SUM(S110:S112)</f>
        <v>0</v>
      </c>
      <c r="T109" s="221">
        <f t="shared" si="262"/>
        <v>0</v>
      </c>
      <c r="U109" s="137"/>
      <c r="V109" s="138">
        <f t="shared" ref="V109:X109" si="263">SUM(V110:V112)</f>
        <v>0</v>
      </c>
      <c r="W109" s="218">
        <f t="shared" si="263"/>
        <v>0</v>
      </c>
      <c r="X109" s="218">
        <f t="shared" si="263"/>
        <v>0</v>
      </c>
      <c r="Y109" s="218">
        <f t="shared" si="234"/>
        <v>0</v>
      </c>
      <c r="Z109" s="592" t="e">
        <f t="shared" si="235"/>
        <v>#DIV/0!</v>
      </c>
      <c r="AA109" s="548"/>
      <c r="AB109" s="125"/>
      <c r="AC109" s="125"/>
      <c r="AD109" s="125"/>
      <c r="AE109" s="125"/>
      <c r="AF109" s="125"/>
      <c r="AG109" s="125"/>
    </row>
    <row r="110" spans="1:33" ht="30" customHeight="1">
      <c r="A110" s="115" t="s">
        <v>51</v>
      </c>
      <c r="B110" s="116" t="s">
        <v>368</v>
      </c>
      <c r="C110" s="225" t="s">
        <v>75</v>
      </c>
      <c r="D110" s="204" t="s">
        <v>76</v>
      </c>
      <c r="E110" s="118"/>
      <c r="F110" s="119"/>
      <c r="G110" s="120">
        <f t="shared" ref="G110:G112" si="264">E110*F110</f>
        <v>0</v>
      </c>
      <c r="H110" s="118"/>
      <c r="I110" s="119"/>
      <c r="J110" s="120">
        <f t="shared" ref="J110:J112" si="265">H110*I110</f>
        <v>0</v>
      </c>
      <c r="K110" s="118"/>
      <c r="L110" s="119"/>
      <c r="M110" s="120">
        <f t="shared" ref="M110:M112" si="266">K110*L110</f>
        <v>0</v>
      </c>
      <c r="N110" s="118"/>
      <c r="O110" s="119"/>
      <c r="P110" s="120">
        <f t="shared" ref="P110:P112" si="267">N110*O110</f>
        <v>0</v>
      </c>
      <c r="Q110" s="118"/>
      <c r="R110" s="119"/>
      <c r="S110" s="120">
        <f t="shared" ref="S110:S112" si="268">Q110*R110</f>
        <v>0</v>
      </c>
      <c r="T110" s="118"/>
      <c r="U110" s="119"/>
      <c r="V110" s="120">
        <f t="shared" ref="V110:V112" si="269">T110*U110</f>
        <v>0</v>
      </c>
      <c r="W110" s="121">
        <f t="shared" ref="W110:W112" si="270">G110+M110+S110</f>
        <v>0</v>
      </c>
      <c r="X110" s="122">
        <f t="shared" ref="X110:X112" si="271">J110+P110+V110</f>
        <v>0</v>
      </c>
      <c r="Y110" s="122">
        <f t="shared" si="234"/>
        <v>0</v>
      </c>
      <c r="Z110" s="554" t="e">
        <f t="shared" si="235"/>
        <v>#DIV/0!</v>
      </c>
      <c r="AA110" s="549"/>
      <c r="AB110" s="124"/>
      <c r="AC110" s="125"/>
      <c r="AD110" s="125"/>
      <c r="AE110" s="125"/>
      <c r="AF110" s="125"/>
      <c r="AG110" s="125"/>
    </row>
    <row r="111" spans="1:33" ht="30" customHeight="1">
      <c r="A111" s="115" t="s">
        <v>51</v>
      </c>
      <c r="B111" s="116" t="s">
        <v>369</v>
      </c>
      <c r="C111" s="225" t="s">
        <v>75</v>
      </c>
      <c r="D111" s="204" t="s">
        <v>76</v>
      </c>
      <c r="E111" s="118"/>
      <c r="F111" s="119"/>
      <c r="G111" s="120">
        <f t="shared" si="264"/>
        <v>0</v>
      </c>
      <c r="H111" s="118"/>
      <c r="I111" s="119"/>
      <c r="J111" s="120">
        <f t="shared" si="265"/>
        <v>0</v>
      </c>
      <c r="K111" s="118"/>
      <c r="L111" s="119"/>
      <c r="M111" s="120">
        <f t="shared" si="266"/>
        <v>0</v>
      </c>
      <c r="N111" s="118"/>
      <c r="O111" s="119"/>
      <c r="P111" s="120">
        <f t="shared" si="267"/>
        <v>0</v>
      </c>
      <c r="Q111" s="118"/>
      <c r="R111" s="119"/>
      <c r="S111" s="120">
        <f t="shared" si="268"/>
        <v>0</v>
      </c>
      <c r="T111" s="118"/>
      <c r="U111" s="119"/>
      <c r="V111" s="120">
        <f t="shared" si="269"/>
        <v>0</v>
      </c>
      <c r="W111" s="121">
        <f t="shared" si="270"/>
        <v>0</v>
      </c>
      <c r="X111" s="122">
        <f t="shared" si="271"/>
        <v>0</v>
      </c>
      <c r="Y111" s="122">
        <f t="shared" si="234"/>
        <v>0</v>
      </c>
      <c r="Z111" s="554" t="e">
        <f t="shared" si="235"/>
        <v>#DIV/0!</v>
      </c>
      <c r="AA111" s="549"/>
      <c r="AB111" s="125"/>
      <c r="AC111" s="125"/>
      <c r="AD111" s="125"/>
      <c r="AE111" s="125"/>
      <c r="AF111" s="125"/>
      <c r="AG111" s="125"/>
    </row>
    <row r="112" spans="1:33" ht="30" customHeight="1" thickBot="1">
      <c r="A112" s="127" t="s">
        <v>51</v>
      </c>
      <c r="B112" s="128" t="s">
        <v>370</v>
      </c>
      <c r="C112" s="226" t="s">
        <v>75</v>
      </c>
      <c r="D112" s="204" t="s">
        <v>76</v>
      </c>
      <c r="E112" s="142"/>
      <c r="F112" s="143"/>
      <c r="G112" s="144">
        <f t="shared" si="264"/>
        <v>0</v>
      </c>
      <c r="H112" s="142"/>
      <c r="I112" s="143"/>
      <c r="J112" s="144">
        <f t="shared" si="265"/>
        <v>0</v>
      </c>
      <c r="K112" s="142"/>
      <c r="L112" s="143"/>
      <c r="M112" s="144">
        <f t="shared" si="266"/>
        <v>0</v>
      </c>
      <c r="N112" s="142"/>
      <c r="O112" s="143"/>
      <c r="P112" s="144">
        <f t="shared" si="267"/>
        <v>0</v>
      </c>
      <c r="Q112" s="142"/>
      <c r="R112" s="143"/>
      <c r="S112" s="144">
        <f t="shared" si="268"/>
        <v>0</v>
      </c>
      <c r="T112" s="142"/>
      <c r="U112" s="143"/>
      <c r="V112" s="144">
        <f t="shared" si="269"/>
        <v>0</v>
      </c>
      <c r="W112" s="133">
        <f t="shared" si="270"/>
        <v>0</v>
      </c>
      <c r="X112" s="122">
        <f t="shared" si="271"/>
        <v>0</v>
      </c>
      <c r="Y112" s="122">
        <f t="shared" si="234"/>
        <v>0</v>
      </c>
      <c r="Z112" s="554" t="e">
        <f t="shared" si="235"/>
        <v>#DIV/0!</v>
      </c>
      <c r="AA112" s="549"/>
      <c r="AB112" s="125"/>
      <c r="AC112" s="125"/>
      <c r="AD112" s="125"/>
      <c r="AE112" s="125"/>
      <c r="AF112" s="125"/>
      <c r="AG112" s="125"/>
    </row>
    <row r="113" spans="1:33" ht="39.75" customHeight="1" thickBot="1">
      <c r="A113" s="804" t="s">
        <v>124</v>
      </c>
      <c r="B113" s="797"/>
      <c r="C113" s="797"/>
      <c r="D113" s="805"/>
      <c r="E113" s="189"/>
      <c r="F113" s="189"/>
      <c r="G113" s="176">
        <f>G101+G105+G109</f>
        <v>0</v>
      </c>
      <c r="H113" s="189"/>
      <c r="I113" s="189"/>
      <c r="J113" s="176">
        <f>J101+J105+J109</f>
        <v>0</v>
      </c>
      <c r="K113" s="189"/>
      <c r="L113" s="189"/>
      <c r="M113" s="176">
        <f>M101+M105+M109</f>
        <v>0</v>
      </c>
      <c r="N113" s="189"/>
      <c r="O113" s="189"/>
      <c r="P113" s="176">
        <f>P101+P105+P109</f>
        <v>0</v>
      </c>
      <c r="Q113" s="189"/>
      <c r="R113" s="189"/>
      <c r="S113" s="176">
        <f>S101+S105+S109</f>
        <v>0</v>
      </c>
      <c r="T113" s="189"/>
      <c r="U113" s="189"/>
      <c r="V113" s="176">
        <f t="shared" ref="V113:X113" si="272">V101+V105+V109</f>
        <v>0</v>
      </c>
      <c r="W113" s="191">
        <f t="shared" si="272"/>
        <v>0</v>
      </c>
      <c r="X113" s="191">
        <f t="shared" si="272"/>
        <v>0</v>
      </c>
      <c r="Y113" s="191">
        <f t="shared" si="234"/>
        <v>0</v>
      </c>
      <c r="Z113" s="587" t="e">
        <f t="shared" si="235"/>
        <v>#DIV/0!</v>
      </c>
      <c r="AA113" s="577"/>
      <c r="AC113" s="76"/>
      <c r="AD113" s="76"/>
      <c r="AE113" s="76"/>
      <c r="AF113" s="76"/>
      <c r="AG113" s="76"/>
    </row>
    <row r="114" spans="1:33" ht="30" customHeight="1" thickBot="1">
      <c r="A114" s="180" t="s">
        <v>49</v>
      </c>
      <c r="B114" s="181">
        <v>6</v>
      </c>
      <c r="C114" s="182" t="s">
        <v>125</v>
      </c>
      <c r="D114" s="183"/>
      <c r="E114" s="103"/>
      <c r="F114" s="103"/>
      <c r="G114" s="103"/>
      <c r="H114" s="103"/>
      <c r="I114" s="103"/>
      <c r="J114" s="103"/>
      <c r="K114" s="103"/>
      <c r="L114" s="103"/>
      <c r="M114" s="103"/>
      <c r="N114" s="103"/>
      <c r="O114" s="103"/>
      <c r="P114" s="103"/>
      <c r="Q114" s="103"/>
      <c r="R114" s="103"/>
      <c r="S114" s="103"/>
      <c r="T114" s="103"/>
      <c r="U114" s="103"/>
      <c r="V114" s="103"/>
      <c r="W114" s="104"/>
      <c r="X114" s="104"/>
      <c r="Y114" s="217"/>
      <c r="Z114" s="104"/>
      <c r="AA114" s="578"/>
      <c r="AB114" s="76"/>
      <c r="AC114" s="76"/>
      <c r="AD114" s="76"/>
      <c r="AE114" s="76"/>
      <c r="AF114" s="76"/>
      <c r="AG114" s="76"/>
    </row>
    <row r="115" spans="1:33" ht="30" customHeight="1">
      <c r="A115" s="106" t="s">
        <v>50</v>
      </c>
      <c r="B115" s="168" t="s">
        <v>371</v>
      </c>
      <c r="C115" s="227" t="s">
        <v>126</v>
      </c>
      <c r="D115" s="109"/>
      <c r="E115" s="110">
        <f>SUM(E116:E118)</f>
        <v>0</v>
      </c>
      <c r="F115" s="111"/>
      <c r="G115" s="112">
        <f t="shared" ref="G115:H115" si="273">SUM(G116:G118)</f>
        <v>0</v>
      </c>
      <c r="H115" s="110">
        <f t="shared" si="273"/>
        <v>0</v>
      </c>
      <c r="I115" s="111"/>
      <c r="J115" s="112">
        <f t="shared" ref="J115:K115" si="274">SUM(J116:J118)</f>
        <v>0</v>
      </c>
      <c r="K115" s="110">
        <f t="shared" si="274"/>
        <v>0</v>
      </c>
      <c r="L115" s="111"/>
      <c r="M115" s="112">
        <f t="shared" ref="M115:N115" si="275">SUM(M116:M118)</f>
        <v>0</v>
      </c>
      <c r="N115" s="110">
        <f t="shared" si="275"/>
        <v>0</v>
      </c>
      <c r="O115" s="111"/>
      <c r="P115" s="112">
        <f t="shared" ref="P115:Q115" si="276">SUM(P116:P118)</f>
        <v>0</v>
      </c>
      <c r="Q115" s="110">
        <f t="shared" si="276"/>
        <v>0</v>
      </c>
      <c r="R115" s="111"/>
      <c r="S115" s="112">
        <f t="shared" ref="S115:T115" si="277">SUM(S116:S118)</f>
        <v>0</v>
      </c>
      <c r="T115" s="110">
        <f t="shared" si="277"/>
        <v>0</v>
      </c>
      <c r="U115" s="111"/>
      <c r="V115" s="112">
        <f t="shared" ref="V115:X115" si="278">SUM(V116:V118)</f>
        <v>0</v>
      </c>
      <c r="W115" s="112">
        <f t="shared" si="278"/>
        <v>0</v>
      </c>
      <c r="X115" s="112">
        <f t="shared" si="278"/>
        <v>0</v>
      </c>
      <c r="Y115" s="112">
        <f t="shared" ref="Y115:Y127" si="279">W115-X115</f>
        <v>0</v>
      </c>
      <c r="Z115" s="582" t="e">
        <f t="shared" ref="Z115:Z127" si="280">Y115/W115</f>
        <v>#DIV/0!</v>
      </c>
      <c r="AA115" s="548"/>
      <c r="AB115" s="114"/>
      <c r="AC115" s="114"/>
      <c r="AD115" s="114"/>
      <c r="AE115" s="114"/>
      <c r="AF115" s="114"/>
      <c r="AG115" s="114"/>
    </row>
    <row r="116" spans="1:33" ht="30" customHeight="1">
      <c r="A116" s="115" t="s">
        <v>51</v>
      </c>
      <c r="B116" s="116" t="s">
        <v>372</v>
      </c>
      <c r="C116" s="187" t="s">
        <v>127</v>
      </c>
      <c r="D116" s="117" t="s">
        <v>73</v>
      </c>
      <c r="E116" s="118"/>
      <c r="F116" s="119"/>
      <c r="G116" s="120">
        <f t="shared" ref="G116:G118" si="281">E116*F116</f>
        <v>0</v>
      </c>
      <c r="H116" s="118"/>
      <c r="I116" s="119"/>
      <c r="J116" s="120">
        <f t="shared" ref="J116:J118" si="282">H116*I116</f>
        <v>0</v>
      </c>
      <c r="K116" s="118"/>
      <c r="L116" s="119"/>
      <c r="M116" s="120">
        <f t="shared" ref="M116:M118" si="283">K116*L116</f>
        <v>0</v>
      </c>
      <c r="N116" s="118"/>
      <c r="O116" s="119"/>
      <c r="P116" s="120">
        <f t="shared" ref="P116:P118" si="284">N116*O116</f>
        <v>0</v>
      </c>
      <c r="Q116" s="118"/>
      <c r="R116" s="119"/>
      <c r="S116" s="120">
        <f t="shared" ref="S116:S118" si="285">Q116*R116</f>
        <v>0</v>
      </c>
      <c r="T116" s="118"/>
      <c r="U116" s="119"/>
      <c r="V116" s="120">
        <f t="shared" ref="V116:V118" si="286">T116*U116</f>
        <v>0</v>
      </c>
      <c r="W116" s="121">
        <f t="shared" ref="W116:W118" si="287">G116+M116+S116</f>
        <v>0</v>
      </c>
      <c r="X116" s="122">
        <f t="shared" ref="X116:X118" si="288">J116+P116+V116</f>
        <v>0</v>
      </c>
      <c r="Y116" s="122">
        <f t="shared" si="279"/>
        <v>0</v>
      </c>
      <c r="Z116" s="554" t="e">
        <f t="shared" si="280"/>
        <v>#DIV/0!</v>
      </c>
      <c r="AA116" s="549"/>
      <c r="AB116" s="125"/>
      <c r="AC116" s="125"/>
      <c r="AD116" s="125"/>
      <c r="AE116" s="125"/>
      <c r="AF116" s="125"/>
      <c r="AG116" s="125"/>
    </row>
    <row r="117" spans="1:33" ht="30" customHeight="1">
      <c r="A117" s="115" t="s">
        <v>51</v>
      </c>
      <c r="B117" s="116" t="s">
        <v>373</v>
      </c>
      <c r="C117" s="187" t="s">
        <v>127</v>
      </c>
      <c r="D117" s="117" t="s">
        <v>73</v>
      </c>
      <c r="E117" s="118"/>
      <c r="F117" s="119"/>
      <c r="G117" s="120">
        <f t="shared" si="281"/>
        <v>0</v>
      </c>
      <c r="H117" s="118"/>
      <c r="I117" s="119"/>
      <c r="J117" s="120">
        <f t="shared" si="282"/>
        <v>0</v>
      </c>
      <c r="K117" s="118"/>
      <c r="L117" s="119"/>
      <c r="M117" s="120">
        <f t="shared" si="283"/>
        <v>0</v>
      </c>
      <c r="N117" s="118"/>
      <c r="O117" s="119"/>
      <c r="P117" s="120">
        <f t="shared" si="284"/>
        <v>0</v>
      </c>
      <c r="Q117" s="118"/>
      <c r="R117" s="119"/>
      <c r="S117" s="120">
        <f t="shared" si="285"/>
        <v>0</v>
      </c>
      <c r="T117" s="118"/>
      <c r="U117" s="119"/>
      <c r="V117" s="120">
        <f t="shared" si="286"/>
        <v>0</v>
      </c>
      <c r="W117" s="121">
        <f t="shared" si="287"/>
        <v>0</v>
      </c>
      <c r="X117" s="122">
        <f t="shared" si="288"/>
        <v>0</v>
      </c>
      <c r="Y117" s="122">
        <f t="shared" si="279"/>
        <v>0</v>
      </c>
      <c r="Z117" s="554" t="e">
        <f t="shared" si="280"/>
        <v>#DIV/0!</v>
      </c>
      <c r="AA117" s="549"/>
      <c r="AB117" s="125"/>
      <c r="AC117" s="125"/>
      <c r="AD117" s="125"/>
      <c r="AE117" s="125"/>
      <c r="AF117" s="125"/>
      <c r="AG117" s="125"/>
    </row>
    <row r="118" spans="1:33" ht="30" customHeight="1" thickBot="1">
      <c r="A118" s="127" t="s">
        <v>51</v>
      </c>
      <c r="B118" s="128" t="s">
        <v>374</v>
      </c>
      <c r="C118" s="167" t="s">
        <v>127</v>
      </c>
      <c r="D118" s="129" t="s">
        <v>73</v>
      </c>
      <c r="E118" s="130"/>
      <c r="F118" s="131"/>
      <c r="G118" s="132">
        <f t="shared" si="281"/>
        <v>0</v>
      </c>
      <c r="H118" s="130"/>
      <c r="I118" s="131"/>
      <c r="J118" s="132">
        <f t="shared" si="282"/>
        <v>0</v>
      </c>
      <c r="K118" s="130"/>
      <c r="L118" s="131"/>
      <c r="M118" s="132">
        <f t="shared" si="283"/>
        <v>0</v>
      </c>
      <c r="N118" s="130"/>
      <c r="O118" s="131"/>
      <c r="P118" s="132">
        <f t="shared" si="284"/>
        <v>0</v>
      </c>
      <c r="Q118" s="130"/>
      <c r="R118" s="131"/>
      <c r="S118" s="132">
        <f t="shared" si="285"/>
        <v>0</v>
      </c>
      <c r="T118" s="130"/>
      <c r="U118" s="131"/>
      <c r="V118" s="132">
        <f t="shared" si="286"/>
        <v>0</v>
      </c>
      <c r="W118" s="133">
        <f t="shared" si="287"/>
        <v>0</v>
      </c>
      <c r="X118" s="122">
        <f t="shared" si="288"/>
        <v>0</v>
      </c>
      <c r="Y118" s="122">
        <f t="shared" si="279"/>
        <v>0</v>
      </c>
      <c r="Z118" s="123" t="e">
        <f t="shared" si="280"/>
        <v>#DIV/0!</v>
      </c>
      <c r="AA118" s="555"/>
      <c r="AB118" s="125"/>
      <c r="AC118" s="125"/>
      <c r="AD118" s="125"/>
      <c r="AE118" s="125"/>
      <c r="AF118" s="125"/>
      <c r="AG118" s="125"/>
    </row>
    <row r="119" spans="1:33" ht="30" customHeight="1">
      <c r="A119" s="106" t="s">
        <v>49</v>
      </c>
      <c r="B119" s="168" t="s">
        <v>375</v>
      </c>
      <c r="C119" s="228" t="s">
        <v>128</v>
      </c>
      <c r="D119" s="135"/>
      <c r="E119" s="136">
        <f>SUM(E120:E122)</f>
        <v>0</v>
      </c>
      <c r="F119" s="137"/>
      <c r="G119" s="138">
        <f t="shared" ref="G119:H119" si="289">SUM(G120:G122)</f>
        <v>0</v>
      </c>
      <c r="H119" s="136">
        <f t="shared" si="289"/>
        <v>0</v>
      </c>
      <c r="I119" s="137"/>
      <c r="J119" s="138">
        <f t="shared" ref="J119:K119" si="290">SUM(J120:J122)</f>
        <v>0</v>
      </c>
      <c r="K119" s="136">
        <f t="shared" si="290"/>
        <v>0</v>
      </c>
      <c r="L119" s="137"/>
      <c r="M119" s="138">
        <f t="shared" ref="M119:N119" si="291">SUM(M120:M122)</f>
        <v>0</v>
      </c>
      <c r="N119" s="136">
        <f t="shared" si="291"/>
        <v>0</v>
      </c>
      <c r="O119" s="137"/>
      <c r="P119" s="138">
        <f t="shared" ref="P119:Q119" si="292">SUM(P120:P122)</f>
        <v>0</v>
      </c>
      <c r="Q119" s="136">
        <f t="shared" si="292"/>
        <v>0</v>
      </c>
      <c r="R119" s="137"/>
      <c r="S119" s="138">
        <f t="shared" ref="S119:T119" si="293">SUM(S120:S122)</f>
        <v>0</v>
      </c>
      <c r="T119" s="136">
        <f t="shared" si="293"/>
        <v>0</v>
      </c>
      <c r="U119" s="137"/>
      <c r="V119" s="138">
        <f t="shared" ref="V119:X119" si="294">SUM(V120:V122)</f>
        <v>0</v>
      </c>
      <c r="W119" s="138">
        <f t="shared" si="294"/>
        <v>0</v>
      </c>
      <c r="X119" s="138">
        <f t="shared" si="294"/>
        <v>0</v>
      </c>
      <c r="Y119" s="138">
        <f t="shared" si="279"/>
        <v>0</v>
      </c>
      <c r="Z119" s="138" t="e">
        <f t="shared" si="280"/>
        <v>#DIV/0!</v>
      </c>
      <c r="AA119" s="576"/>
      <c r="AB119" s="114"/>
      <c r="AC119" s="114"/>
      <c r="AD119" s="114"/>
      <c r="AE119" s="114"/>
      <c r="AF119" s="114"/>
      <c r="AG119" s="114"/>
    </row>
    <row r="120" spans="1:33" ht="30" customHeight="1">
      <c r="A120" s="115" t="s">
        <v>51</v>
      </c>
      <c r="B120" s="116" t="s">
        <v>376</v>
      </c>
      <c r="C120" s="187" t="s">
        <v>127</v>
      </c>
      <c r="D120" s="117" t="s">
        <v>73</v>
      </c>
      <c r="E120" s="118"/>
      <c r="F120" s="119"/>
      <c r="G120" s="120">
        <f t="shared" ref="G120:G122" si="295">E120*F120</f>
        <v>0</v>
      </c>
      <c r="H120" s="118"/>
      <c r="I120" s="119"/>
      <c r="J120" s="120">
        <f t="shared" ref="J120:J122" si="296">H120*I120</f>
        <v>0</v>
      </c>
      <c r="K120" s="118"/>
      <c r="L120" s="119"/>
      <c r="M120" s="120">
        <f t="shared" ref="M120:M122" si="297">K120*L120</f>
        <v>0</v>
      </c>
      <c r="N120" s="118"/>
      <c r="O120" s="119"/>
      <c r="P120" s="120">
        <f t="shared" ref="P120:P122" si="298">N120*O120</f>
        <v>0</v>
      </c>
      <c r="Q120" s="118"/>
      <c r="R120" s="119"/>
      <c r="S120" s="120">
        <f t="shared" ref="S120:S122" si="299">Q120*R120</f>
        <v>0</v>
      </c>
      <c r="T120" s="118"/>
      <c r="U120" s="119"/>
      <c r="V120" s="120">
        <f t="shared" ref="V120:V122" si="300">T120*U120</f>
        <v>0</v>
      </c>
      <c r="W120" s="121">
        <f t="shared" ref="W120:W122" si="301">G120+M120+S120</f>
        <v>0</v>
      </c>
      <c r="X120" s="122">
        <f t="shared" ref="X120:X122" si="302">J120+P120+V120</f>
        <v>0</v>
      </c>
      <c r="Y120" s="122">
        <f t="shared" si="279"/>
        <v>0</v>
      </c>
      <c r="Z120" s="554" t="e">
        <f t="shared" si="280"/>
        <v>#DIV/0!</v>
      </c>
      <c r="AA120" s="549"/>
      <c r="AB120" s="567"/>
      <c r="AC120" s="125"/>
      <c r="AD120" s="125"/>
      <c r="AE120" s="125"/>
      <c r="AF120" s="125"/>
      <c r="AG120" s="125"/>
    </row>
    <row r="121" spans="1:33" ht="30" customHeight="1">
      <c r="A121" s="115" t="s">
        <v>51</v>
      </c>
      <c r="B121" s="116" t="s">
        <v>655</v>
      </c>
      <c r="C121" s="187" t="s">
        <v>127</v>
      </c>
      <c r="D121" s="117" t="s">
        <v>73</v>
      </c>
      <c r="E121" s="118"/>
      <c r="F121" s="119"/>
      <c r="G121" s="120">
        <f t="shared" si="295"/>
        <v>0</v>
      </c>
      <c r="H121" s="118"/>
      <c r="I121" s="119"/>
      <c r="J121" s="120">
        <f t="shared" si="296"/>
        <v>0</v>
      </c>
      <c r="K121" s="118"/>
      <c r="L121" s="119"/>
      <c r="M121" s="120">
        <f t="shared" si="297"/>
        <v>0</v>
      </c>
      <c r="N121" s="118"/>
      <c r="O121" s="119"/>
      <c r="P121" s="120">
        <f t="shared" si="298"/>
        <v>0</v>
      </c>
      <c r="Q121" s="118"/>
      <c r="R121" s="119"/>
      <c r="S121" s="120">
        <f t="shared" si="299"/>
        <v>0</v>
      </c>
      <c r="T121" s="118"/>
      <c r="U121" s="119"/>
      <c r="V121" s="120">
        <f t="shared" si="300"/>
        <v>0</v>
      </c>
      <c r="W121" s="121">
        <f t="shared" si="301"/>
        <v>0</v>
      </c>
      <c r="X121" s="122">
        <f t="shared" si="302"/>
        <v>0</v>
      </c>
      <c r="Y121" s="122">
        <f t="shared" si="279"/>
        <v>0</v>
      </c>
      <c r="Z121" s="554" t="e">
        <f t="shared" si="280"/>
        <v>#DIV/0!</v>
      </c>
      <c r="AA121" s="549"/>
      <c r="AB121" s="567"/>
      <c r="AC121" s="125"/>
      <c r="AD121" s="125"/>
      <c r="AE121" s="125"/>
      <c r="AF121" s="125"/>
      <c r="AG121" s="125"/>
    </row>
    <row r="122" spans="1:33" ht="30" customHeight="1" thickBot="1">
      <c r="A122" s="127" t="s">
        <v>51</v>
      </c>
      <c r="B122" s="128" t="s">
        <v>656</v>
      </c>
      <c r="C122" s="167" t="s">
        <v>127</v>
      </c>
      <c r="D122" s="129" t="s">
        <v>73</v>
      </c>
      <c r="E122" s="130"/>
      <c r="F122" s="131"/>
      <c r="G122" s="132">
        <f t="shared" si="295"/>
        <v>0</v>
      </c>
      <c r="H122" s="130"/>
      <c r="I122" s="131"/>
      <c r="J122" s="132">
        <f t="shared" si="296"/>
        <v>0</v>
      </c>
      <c r="K122" s="130"/>
      <c r="L122" s="131"/>
      <c r="M122" s="132">
        <f t="shared" si="297"/>
        <v>0</v>
      </c>
      <c r="N122" s="130"/>
      <c r="O122" s="131"/>
      <c r="P122" s="132">
        <f t="shared" si="298"/>
        <v>0</v>
      </c>
      <c r="Q122" s="130"/>
      <c r="R122" s="131"/>
      <c r="S122" s="132">
        <f t="shared" si="299"/>
        <v>0</v>
      </c>
      <c r="T122" s="130"/>
      <c r="U122" s="131"/>
      <c r="V122" s="132">
        <f t="shared" si="300"/>
        <v>0</v>
      </c>
      <c r="W122" s="133">
        <f t="shared" si="301"/>
        <v>0</v>
      </c>
      <c r="X122" s="122">
        <f t="shared" si="302"/>
        <v>0</v>
      </c>
      <c r="Y122" s="122">
        <f t="shared" si="279"/>
        <v>0</v>
      </c>
      <c r="Z122" s="554" t="e">
        <f t="shared" si="280"/>
        <v>#DIV/0!</v>
      </c>
      <c r="AA122" s="549"/>
      <c r="AB122" s="567"/>
      <c r="AC122" s="125"/>
      <c r="AD122" s="125"/>
      <c r="AE122" s="125"/>
      <c r="AF122" s="125"/>
      <c r="AG122" s="125"/>
    </row>
    <row r="123" spans="1:33" ht="30" customHeight="1">
      <c r="A123" s="106" t="s">
        <v>49</v>
      </c>
      <c r="B123" s="168" t="s">
        <v>377</v>
      </c>
      <c r="C123" s="228" t="s">
        <v>129</v>
      </c>
      <c r="D123" s="135"/>
      <c r="E123" s="136">
        <f>SUM(E124:E126)</f>
        <v>0</v>
      </c>
      <c r="F123" s="137"/>
      <c r="G123" s="138">
        <f t="shared" ref="G123:H123" si="303">SUM(G124:G126)</f>
        <v>0</v>
      </c>
      <c r="H123" s="136">
        <f t="shared" si="303"/>
        <v>0</v>
      </c>
      <c r="I123" s="137"/>
      <c r="J123" s="138">
        <f t="shared" ref="J123:K123" si="304">SUM(J124:J126)</f>
        <v>0</v>
      </c>
      <c r="K123" s="136">
        <f t="shared" si="304"/>
        <v>0</v>
      </c>
      <c r="L123" s="137"/>
      <c r="M123" s="138">
        <f t="shared" ref="M123:N123" si="305">SUM(M124:M126)</f>
        <v>0</v>
      </c>
      <c r="N123" s="136">
        <f t="shared" si="305"/>
        <v>0</v>
      </c>
      <c r="O123" s="137"/>
      <c r="P123" s="138">
        <f t="shared" ref="P123:Q123" si="306">SUM(P124:P126)</f>
        <v>0</v>
      </c>
      <c r="Q123" s="136">
        <f t="shared" si="306"/>
        <v>0</v>
      </c>
      <c r="R123" s="137"/>
      <c r="S123" s="138">
        <f t="shared" ref="S123:T123" si="307">SUM(S124:S126)</f>
        <v>0</v>
      </c>
      <c r="T123" s="136">
        <f t="shared" si="307"/>
        <v>0</v>
      </c>
      <c r="U123" s="137"/>
      <c r="V123" s="138">
        <f t="shared" ref="V123:X123" si="308">SUM(V124:V126)</f>
        <v>0</v>
      </c>
      <c r="W123" s="138">
        <f t="shared" si="308"/>
        <v>0</v>
      </c>
      <c r="X123" s="138">
        <f t="shared" si="308"/>
        <v>0</v>
      </c>
      <c r="Y123" s="138">
        <f t="shared" si="279"/>
        <v>0</v>
      </c>
      <c r="Z123" s="289" t="e">
        <f t="shared" si="280"/>
        <v>#DIV/0!</v>
      </c>
      <c r="AA123" s="548"/>
      <c r="AB123" s="568"/>
      <c r="AC123" s="114"/>
      <c r="AD123" s="114"/>
      <c r="AE123" s="114"/>
      <c r="AF123" s="114"/>
      <c r="AG123" s="114"/>
    </row>
    <row r="124" spans="1:33" ht="30" customHeight="1">
      <c r="A124" s="115" t="s">
        <v>51</v>
      </c>
      <c r="B124" s="116" t="s">
        <v>378</v>
      </c>
      <c r="C124" s="187" t="s">
        <v>127</v>
      </c>
      <c r="D124" s="117" t="s">
        <v>73</v>
      </c>
      <c r="E124" s="118"/>
      <c r="F124" s="119"/>
      <c r="G124" s="120">
        <f t="shared" ref="G124:G126" si="309">E124*F124</f>
        <v>0</v>
      </c>
      <c r="H124" s="118"/>
      <c r="I124" s="119"/>
      <c r="J124" s="120">
        <f t="shared" ref="J124:J126" si="310">H124*I124</f>
        <v>0</v>
      </c>
      <c r="K124" s="118"/>
      <c r="L124" s="119"/>
      <c r="M124" s="120">
        <f t="shared" ref="M124:M126" si="311">K124*L124</f>
        <v>0</v>
      </c>
      <c r="N124" s="118"/>
      <c r="O124" s="119"/>
      <c r="P124" s="120">
        <f t="shared" ref="P124:P126" si="312">N124*O124</f>
        <v>0</v>
      </c>
      <c r="Q124" s="118"/>
      <c r="R124" s="119"/>
      <c r="S124" s="120">
        <f t="shared" ref="S124:S126" si="313">Q124*R124</f>
        <v>0</v>
      </c>
      <c r="T124" s="118"/>
      <c r="U124" s="119"/>
      <c r="V124" s="120">
        <f t="shared" ref="V124:V126" si="314">T124*U124</f>
        <v>0</v>
      </c>
      <c r="W124" s="121">
        <f t="shared" ref="W124:W126" si="315">G124+M124+S124</f>
        <v>0</v>
      </c>
      <c r="X124" s="122">
        <f t="shared" ref="X124:X126" si="316">J124+P124+V124</f>
        <v>0</v>
      </c>
      <c r="Y124" s="122">
        <f t="shared" si="279"/>
        <v>0</v>
      </c>
      <c r="Z124" s="554" t="e">
        <f t="shared" si="280"/>
        <v>#DIV/0!</v>
      </c>
      <c r="AA124" s="549"/>
      <c r="AB124" s="567"/>
      <c r="AC124" s="125"/>
      <c r="AD124" s="125"/>
      <c r="AE124" s="125"/>
      <c r="AF124" s="125"/>
      <c r="AG124" s="125"/>
    </row>
    <row r="125" spans="1:33" ht="30" customHeight="1">
      <c r="A125" s="115" t="s">
        <v>51</v>
      </c>
      <c r="B125" s="116" t="s">
        <v>379</v>
      </c>
      <c r="C125" s="187" t="s">
        <v>127</v>
      </c>
      <c r="D125" s="117" t="s">
        <v>73</v>
      </c>
      <c r="E125" s="118"/>
      <c r="F125" s="119"/>
      <c r="G125" s="120">
        <f t="shared" si="309"/>
        <v>0</v>
      </c>
      <c r="H125" s="118"/>
      <c r="I125" s="119"/>
      <c r="J125" s="120">
        <f t="shared" si="310"/>
        <v>0</v>
      </c>
      <c r="K125" s="118"/>
      <c r="L125" s="119"/>
      <c r="M125" s="120">
        <f t="shared" si="311"/>
        <v>0</v>
      </c>
      <c r="N125" s="118"/>
      <c r="O125" s="119"/>
      <c r="P125" s="120">
        <f t="shared" si="312"/>
        <v>0</v>
      </c>
      <c r="Q125" s="118"/>
      <c r="R125" s="119"/>
      <c r="S125" s="120">
        <f t="shared" si="313"/>
        <v>0</v>
      </c>
      <c r="T125" s="118"/>
      <c r="U125" s="119"/>
      <c r="V125" s="120">
        <f t="shared" si="314"/>
        <v>0</v>
      </c>
      <c r="W125" s="121">
        <f t="shared" si="315"/>
        <v>0</v>
      </c>
      <c r="X125" s="122">
        <f t="shared" si="316"/>
        <v>0</v>
      </c>
      <c r="Y125" s="122">
        <f t="shared" si="279"/>
        <v>0</v>
      </c>
      <c r="Z125" s="554" t="e">
        <f t="shared" si="280"/>
        <v>#DIV/0!</v>
      </c>
      <c r="AA125" s="549"/>
      <c r="AB125" s="567"/>
      <c r="AC125" s="125"/>
      <c r="AD125" s="125"/>
      <c r="AE125" s="125"/>
      <c r="AF125" s="125"/>
      <c r="AG125" s="125"/>
    </row>
    <row r="126" spans="1:33" ht="30" customHeight="1" thickBot="1">
      <c r="A126" s="127" t="s">
        <v>51</v>
      </c>
      <c r="B126" s="128" t="s">
        <v>657</v>
      </c>
      <c r="C126" s="167" t="s">
        <v>127</v>
      </c>
      <c r="D126" s="129" t="s">
        <v>73</v>
      </c>
      <c r="E126" s="142"/>
      <c r="F126" s="143"/>
      <c r="G126" s="144">
        <f t="shared" si="309"/>
        <v>0</v>
      </c>
      <c r="H126" s="142"/>
      <c r="I126" s="143"/>
      <c r="J126" s="144">
        <f t="shared" si="310"/>
        <v>0</v>
      </c>
      <c r="K126" s="142"/>
      <c r="L126" s="143"/>
      <c r="M126" s="144">
        <f t="shared" si="311"/>
        <v>0</v>
      </c>
      <c r="N126" s="142"/>
      <c r="O126" s="143"/>
      <c r="P126" s="144">
        <f t="shared" si="312"/>
        <v>0</v>
      </c>
      <c r="Q126" s="142"/>
      <c r="R126" s="143"/>
      <c r="S126" s="144">
        <f t="shared" si="313"/>
        <v>0</v>
      </c>
      <c r="T126" s="142"/>
      <c r="U126" s="143"/>
      <c r="V126" s="144">
        <f t="shared" si="314"/>
        <v>0</v>
      </c>
      <c r="W126" s="133">
        <f t="shared" si="315"/>
        <v>0</v>
      </c>
      <c r="X126" s="151">
        <f t="shared" si="316"/>
        <v>0</v>
      </c>
      <c r="Y126" s="151">
        <f t="shared" si="279"/>
        <v>0</v>
      </c>
      <c r="Z126" s="272" t="e">
        <f t="shared" si="280"/>
        <v>#DIV/0!</v>
      </c>
      <c r="AA126" s="549"/>
      <c r="AB126" s="567"/>
      <c r="AC126" s="125"/>
      <c r="AD126" s="125"/>
      <c r="AE126" s="125"/>
      <c r="AF126" s="125"/>
      <c r="AG126" s="125"/>
    </row>
    <row r="127" spans="1:33" ht="30" customHeight="1" thickBot="1">
      <c r="A127" s="170" t="s">
        <v>130</v>
      </c>
      <c r="B127" s="171"/>
      <c r="C127" s="172"/>
      <c r="D127" s="173"/>
      <c r="E127" s="177">
        <f>E123+E119+E115</f>
        <v>0</v>
      </c>
      <c r="F127" s="189"/>
      <c r="G127" s="176">
        <f t="shared" ref="G127:H127" si="317">G123+G119+G115</f>
        <v>0</v>
      </c>
      <c r="H127" s="177">
        <f t="shared" si="317"/>
        <v>0</v>
      </c>
      <c r="I127" s="189"/>
      <c r="J127" s="176">
        <f t="shared" ref="J127:K127" si="318">J123+J119+J115</f>
        <v>0</v>
      </c>
      <c r="K127" s="190">
        <f t="shared" si="318"/>
        <v>0</v>
      </c>
      <c r="L127" s="189"/>
      <c r="M127" s="176">
        <f t="shared" ref="M127:N127" si="319">M123+M119+M115</f>
        <v>0</v>
      </c>
      <c r="N127" s="190">
        <f t="shared" si="319"/>
        <v>0</v>
      </c>
      <c r="O127" s="189"/>
      <c r="P127" s="176">
        <f t="shared" ref="P127:Q127" si="320">P123+P119+P115</f>
        <v>0</v>
      </c>
      <c r="Q127" s="190">
        <f t="shared" si="320"/>
        <v>0</v>
      </c>
      <c r="R127" s="189"/>
      <c r="S127" s="176">
        <f t="shared" ref="S127:T127" si="321">S123+S119+S115</f>
        <v>0</v>
      </c>
      <c r="T127" s="190">
        <f t="shared" si="321"/>
        <v>0</v>
      </c>
      <c r="U127" s="189"/>
      <c r="V127" s="178">
        <f t="shared" ref="V127:X127" si="322">V123+V119+V115</f>
        <v>0</v>
      </c>
      <c r="W127" s="229">
        <f t="shared" si="322"/>
        <v>0</v>
      </c>
      <c r="X127" s="230">
        <f t="shared" si="322"/>
        <v>0</v>
      </c>
      <c r="Y127" s="230">
        <f t="shared" si="279"/>
        <v>0</v>
      </c>
      <c r="Z127" s="557" t="e">
        <f t="shared" si="280"/>
        <v>#DIV/0!</v>
      </c>
      <c r="AA127" s="577"/>
      <c r="AB127" s="569"/>
      <c r="AC127" s="76"/>
      <c r="AD127" s="76"/>
      <c r="AE127" s="76"/>
      <c r="AF127" s="76"/>
      <c r="AG127" s="76"/>
    </row>
    <row r="128" spans="1:33" ht="30" customHeight="1" thickBot="1">
      <c r="A128" s="180" t="s">
        <v>49</v>
      </c>
      <c r="B128" s="215">
        <v>7</v>
      </c>
      <c r="C128" s="182" t="s">
        <v>131</v>
      </c>
      <c r="D128" s="183"/>
      <c r="E128" s="103"/>
      <c r="F128" s="103"/>
      <c r="G128" s="103"/>
      <c r="H128" s="103"/>
      <c r="I128" s="103"/>
      <c r="J128" s="103"/>
      <c r="K128" s="103"/>
      <c r="L128" s="103"/>
      <c r="M128" s="103"/>
      <c r="N128" s="103"/>
      <c r="O128" s="103"/>
      <c r="P128" s="103"/>
      <c r="Q128" s="103"/>
      <c r="R128" s="103"/>
      <c r="S128" s="103"/>
      <c r="T128" s="103"/>
      <c r="U128" s="103"/>
      <c r="V128" s="103"/>
      <c r="W128" s="231"/>
      <c r="X128" s="231"/>
      <c r="Y128" s="184"/>
      <c r="Z128" s="231"/>
      <c r="AA128" s="578"/>
      <c r="AB128" s="569"/>
      <c r="AC128" s="76"/>
      <c r="AD128" s="76"/>
      <c r="AE128" s="76"/>
      <c r="AF128" s="76"/>
      <c r="AG128" s="76"/>
    </row>
    <row r="129" spans="1:33" s="335" customFormat="1" ht="30" customHeight="1">
      <c r="A129" s="361" t="s">
        <v>51</v>
      </c>
      <c r="B129" s="386" t="s">
        <v>380</v>
      </c>
      <c r="C129" s="380" t="s">
        <v>132</v>
      </c>
      <c r="D129" s="388" t="s">
        <v>73</v>
      </c>
      <c r="E129" s="377">
        <v>30</v>
      </c>
      <c r="F129" s="375">
        <v>6</v>
      </c>
      <c r="G129" s="376">
        <f t="shared" ref="G129:G147" si="323">E129*F129</f>
        <v>180</v>
      </c>
      <c r="H129" s="377">
        <v>30</v>
      </c>
      <c r="I129" s="375">
        <v>6</v>
      </c>
      <c r="J129" s="376">
        <f t="shared" ref="J129:J147" si="324">H129*I129</f>
        <v>180</v>
      </c>
      <c r="K129" s="377"/>
      <c r="L129" s="375"/>
      <c r="M129" s="376">
        <f t="shared" ref="M129:M147" si="325">K129*L129</f>
        <v>0</v>
      </c>
      <c r="N129" s="377"/>
      <c r="O129" s="375"/>
      <c r="P129" s="376">
        <f t="shared" ref="P129:P147" si="326">N129*O129</f>
        <v>0</v>
      </c>
      <c r="Q129" s="377"/>
      <c r="R129" s="375"/>
      <c r="S129" s="376">
        <f t="shared" ref="S129:S147" si="327">Q129*R129</f>
        <v>0</v>
      </c>
      <c r="T129" s="377"/>
      <c r="U129" s="375"/>
      <c r="V129" s="378">
        <f t="shared" ref="V129:V147" si="328">T129*U129</f>
        <v>0</v>
      </c>
      <c r="W129" s="431">
        <f t="shared" ref="W129:W147" si="329">G129+M129+S129</f>
        <v>180</v>
      </c>
      <c r="X129" s="371">
        <f t="shared" ref="X129:X147" si="330">J129+P129+V129</f>
        <v>180</v>
      </c>
      <c r="Y129" s="371">
        <f t="shared" ref="Y129:Y147" si="331">W129-X129</f>
        <v>0</v>
      </c>
      <c r="Z129" s="558">
        <f t="shared" ref="Z129:Z148" si="332">Y129/W129</f>
        <v>0</v>
      </c>
      <c r="AA129" s="547"/>
      <c r="AB129" s="438"/>
      <c r="AC129" s="334"/>
      <c r="AD129" s="334"/>
      <c r="AE129" s="334"/>
      <c r="AF129" s="334"/>
      <c r="AG129" s="334"/>
    </row>
    <row r="130" spans="1:33" s="335" customFormat="1" ht="30" customHeight="1">
      <c r="A130" s="361" t="s">
        <v>51</v>
      </c>
      <c r="B130" s="389" t="s">
        <v>382</v>
      </c>
      <c r="C130" s="349" t="s">
        <v>383</v>
      </c>
      <c r="D130" s="432" t="s">
        <v>73</v>
      </c>
      <c r="E130" s="377">
        <v>150</v>
      </c>
      <c r="F130" s="375">
        <v>6</v>
      </c>
      <c r="G130" s="376">
        <f t="shared" si="323"/>
        <v>900</v>
      </c>
      <c r="H130" s="377">
        <v>150</v>
      </c>
      <c r="I130" s="375">
        <v>6</v>
      </c>
      <c r="J130" s="376">
        <f t="shared" si="324"/>
        <v>900</v>
      </c>
      <c r="K130" s="377"/>
      <c r="L130" s="375"/>
      <c r="M130" s="376">
        <f t="shared" si="325"/>
        <v>0</v>
      </c>
      <c r="N130" s="377"/>
      <c r="O130" s="375"/>
      <c r="P130" s="376">
        <f t="shared" si="326"/>
        <v>0</v>
      </c>
      <c r="Q130" s="377"/>
      <c r="R130" s="375"/>
      <c r="S130" s="376">
        <f t="shared" si="327"/>
        <v>0</v>
      </c>
      <c r="T130" s="377"/>
      <c r="U130" s="375"/>
      <c r="V130" s="378">
        <f t="shared" si="328"/>
        <v>0</v>
      </c>
      <c r="W130" s="379">
        <f t="shared" si="329"/>
        <v>900</v>
      </c>
      <c r="X130" s="354">
        <f t="shared" si="330"/>
        <v>900</v>
      </c>
      <c r="Y130" s="354">
        <f t="shared" si="331"/>
        <v>0</v>
      </c>
      <c r="Z130" s="553">
        <f t="shared" si="332"/>
        <v>0</v>
      </c>
      <c r="AA130" s="547"/>
      <c r="AB130" s="438"/>
      <c r="AC130" s="334"/>
      <c r="AD130" s="334"/>
      <c r="AE130" s="334"/>
      <c r="AF130" s="334"/>
      <c r="AG130" s="334"/>
    </row>
    <row r="131" spans="1:33" s="439" customFormat="1" ht="30" customHeight="1">
      <c r="A131" s="393" t="s">
        <v>51</v>
      </c>
      <c r="B131" s="433" t="s">
        <v>384</v>
      </c>
      <c r="C131" s="434" t="s">
        <v>133</v>
      </c>
      <c r="D131" s="435" t="s">
        <v>73</v>
      </c>
      <c r="E131" s="330">
        <v>300</v>
      </c>
      <c r="F131" s="331">
        <v>130</v>
      </c>
      <c r="G131" s="332">
        <f>E131*F131</f>
        <v>39000</v>
      </c>
      <c r="H131" s="330">
        <v>300</v>
      </c>
      <c r="I131" s="331">
        <v>130</v>
      </c>
      <c r="J131" s="332">
        <f>H131*I131</f>
        <v>39000</v>
      </c>
      <c r="K131" s="330"/>
      <c r="L131" s="331"/>
      <c r="M131" s="332">
        <f t="shared" si="325"/>
        <v>0</v>
      </c>
      <c r="N131" s="330"/>
      <c r="O131" s="331"/>
      <c r="P131" s="332">
        <f t="shared" si="326"/>
        <v>0</v>
      </c>
      <c r="Q131" s="330"/>
      <c r="R131" s="331"/>
      <c r="S131" s="332">
        <f t="shared" si="327"/>
        <v>0</v>
      </c>
      <c r="T131" s="330"/>
      <c r="U131" s="331"/>
      <c r="V131" s="436">
        <f t="shared" si="328"/>
        <v>0</v>
      </c>
      <c r="W131" s="437">
        <f t="shared" si="329"/>
        <v>39000</v>
      </c>
      <c r="X131" s="409">
        <f t="shared" si="330"/>
        <v>39000</v>
      </c>
      <c r="Y131" s="409">
        <f t="shared" si="331"/>
        <v>0</v>
      </c>
      <c r="Z131" s="559">
        <f t="shared" si="332"/>
        <v>0</v>
      </c>
      <c r="AA131" s="547"/>
      <c r="AB131" s="438"/>
      <c r="AC131" s="438"/>
      <c r="AD131" s="438"/>
      <c r="AE131" s="438"/>
      <c r="AF131" s="438"/>
      <c r="AG131" s="438"/>
    </row>
    <row r="132" spans="1:33" s="441" customFormat="1" ht="30" customHeight="1">
      <c r="A132" s="406" t="s">
        <v>51</v>
      </c>
      <c r="B132" s="407" t="s">
        <v>385</v>
      </c>
      <c r="C132" s="349" t="s">
        <v>134</v>
      </c>
      <c r="D132" s="408" t="s">
        <v>73</v>
      </c>
      <c r="E132" s="351">
        <v>500</v>
      </c>
      <c r="F132" s="351">
        <v>35</v>
      </c>
      <c r="G132" s="351">
        <f t="shared" si="323"/>
        <v>17500</v>
      </c>
      <c r="H132" s="351">
        <v>500</v>
      </c>
      <c r="I132" s="351">
        <f>J132/H132</f>
        <v>35.136000000000003</v>
      </c>
      <c r="J132" s="351">
        <v>17568</v>
      </c>
      <c r="K132" s="351"/>
      <c r="L132" s="351"/>
      <c r="M132" s="351">
        <f t="shared" si="325"/>
        <v>0</v>
      </c>
      <c r="N132" s="351"/>
      <c r="O132" s="351"/>
      <c r="P132" s="351">
        <f t="shared" si="326"/>
        <v>0</v>
      </c>
      <c r="Q132" s="351"/>
      <c r="R132" s="351"/>
      <c r="S132" s="351">
        <f t="shared" si="327"/>
        <v>0</v>
      </c>
      <c r="T132" s="351"/>
      <c r="U132" s="351"/>
      <c r="V132" s="351">
        <f t="shared" si="328"/>
        <v>0</v>
      </c>
      <c r="W132" s="413">
        <f t="shared" si="329"/>
        <v>17500</v>
      </c>
      <c r="X132" s="413">
        <f t="shared" si="330"/>
        <v>17568</v>
      </c>
      <c r="Y132" s="413">
        <f t="shared" si="331"/>
        <v>-68</v>
      </c>
      <c r="Z132" s="560">
        <f t="shared" si="332"/>
        <v>-3.8857142857142857E-3</v>
      </c>
      <c r="AA132" s="547"/>
      <c r="AB132" s="570"/>
      <c r="AC132" s="440"/>
      <c r="AD132" s="440"/>
      <c r="AE132" s="440"/>
      <c r="AF132" s="440"/>
      <c r="AG132" s="440"/>
    </row>
    <row r="133" spans="1:33" s="439" customFormat="1" ht="30" customHeight="1">
      <c r="A133" s="382" t="s">
        <v>51</v>
      </c>
      <c r="B133" s="400" t="s">
        <v>386</v>
      </c>
      <c r="C133" s="380" t="s">
        <v>135</v>
      </c>
      <c r="D133" s="402" t="s">
        <v>73</v>
      </c>
      <c r="E133" s="368">
        <v>20</v>
      </c>
      <c r="F133" s="366">
        <v>700</v>
      </c>
      <c r="G133" s="367">
        <f>E133*F133</f>
        <v>14000</v>
      </c>
      <c r="H133" s="368">
        <v>20</v>
      </c>
      <c r="I133" s="366">
        <v>700</v>
      </c>
      <c r="J133" s="367">
        <f t="shared" si="324"/>
        <v>14000</v>
      </c>
      <c r="K133" s="368"/>
      <c r="L133" s="366"/>
      <c r="M133" s="367">
        <f t="shared" si="325"/>
        <v>0</v>
      </c>
      <c r="N133" s="368"/>
      <c r="O133" s="366"/>
      <c r="P133" s="367">
        <f t="shared" si="326"/>
        <v>0</v>
      </c>
      <c r="Q133" s="368"/>
      <c r="R133" s="366"/>
      <c r="S133" s="367">
        <f t="shared" si="327"/>
        <v>0</v>
      </c>
      <c r="T133" s="368"/>
      <c r="U133" s="366"/>
      <c r="V133" s="369">
        <f t="shared" si="328"/>
        <v>0</v>
      </c>
      <c r="W133" s="442">
        <f t="shared" si="329"/>
        <v>14000</v>
      </c>
      <c r="X133" s="354">
        <f t="shared" si="330"/>
        <v>14000</v>
      </c>
      <c r="Y133" s="354">
        <f t="shared" si="331"/>
        <v>0</v>
      </c>
      <c r="Z133" s="553">
        <f t="shared" si="332"/>
        <v>0</v>
      </c>
      <c r="AA133" s="547"/>
      <c r="AB133" s="438"/>
      <c r="AC133" s="438"/>
      <c r="AD133" s="438"/>
      <c r="AE133" s="438"/>
      <c r="AF133" s="438"/>
      <c r="AG133" s="438"/>
    </row>
    <row r="134" spans="1:33" s="439" customFormat="1" ht="30" customHeight="1">
      <c r="A134" s="393" t="s">
        <v>51</v>
      </c>
      <c r="B134" s="433" t="s">
        <v>388</v>
      </c>
      <c r="C134" s="356" t="s">
        <v>136</v>
      </c>
      <c r="D134" s="435" t="s">
        <v>73</v>
      </c>
      <c r="E134" s="330">
        <v>1</v>
      </c>
      <c r="F134" s="331">
        <v>6000</v>
      </c>
      <c r="G134" s="332">
        <f t="shared" si="323"/>
        <v>6000</v>
      </c>
      <c r="H134" s="330">
        <v>1</v>
      </c>
      <c r="I134" s="331">
        <v>6000</v>
      </c>
      <c r="J134" s="332">
        <f t="shared" si="324"/>
        <v>6000</v>
      </c>
      <c r="K134" s="330"/>
      <c r="L134" s="331"/>
      <c r="M134" s="332">
        <f t="shared" si="325"/>
        <v>0</v>
      </c>
      <c r="N134" s="330"/>
      <c r="O134" s="331"/>
      <c r="P134" s="332">
        <f t="shared" si="326"/>
        <v>0</v>
      </c>
      <c r="Q134" s="330"/>
      <c r="R134" s="331"/>
      <c r="S134" s="332">
        <f t="shared" si="327"/>
        <v>0</v>
      </c>
      <c r="T134" s="330"/>
      <c r="U134" s="331"/>
      <c r="V134" s="436">
        <f t="shared" si="328"/>
        <v>0</v>
      </c>
      <c r="W134" s="437">
        <f t="shared" si="329"/>
        <v>6000</v>
      </c>
      <c r="X134" s="409">
        <f t="shared" si="330"/>
        <v>6000</v>
      </c>
      <c r="Y134" s="409">
        <f t="shared" si="331"/>
        <v>0</v>
      </c>
      <c r="Z134" s="559">
        <f t="shared" si="332"/>
        <v>0</v>
      </c>
      <c r="AA134" s="547"/>
      <c r="AB134" s="438"/>
      <c r="AC134" s="438"/>
      <c r="AD134" s="438"/>
      <c r="AE134" s="438"/>
      <c r="AF134" s="438"/>
      <c r="AG134" s="438"/>
    </row>
    <row r="135" spans="1:33" s="441" customFormat="1" ht="30" customHeight="1">
      <c r="A135" s="406" t="s">
        <v>51</v>
      </c>
      <c r="B135" s="407" t="s">
        <v>390</v>
      </c>
      <c r="C135" s="349" t="s">
        <v>391</v>
      </c>
      <c r="D135" s="408" t="s">
        <v>73</v>
      </c>
      <c r="E135" s="351">
        <v>1</v>
      </c>
      <c r="F135" s="351">
        <v>2500</v>
      </c>
      <c r="G135" s="351">
        <f t="shared" si="323"/>
        <v>2500</v>
      </c>
      <c r="H135" s="351">
        <v>1</v>
      </c>
      <c r="I135" s="351">
        <v>2500</v>
      </c>
      <c r="J135" s="351">
        <f t="shared" si="324"/>
        <v>2500</v>
      </c>
      <c r="K135" s="351"/>
      <c r="L135" s="351"/>
      <c r="M135" s="351">
        <f t="shared" si="325"/>
        <v>0</v>
      </c>
      <c r="N135" s="351"/>
      <c r="O135" s="351"/>
      <c r="P135" s="351">
        <f t="shared" si="326"/>
        <v>0</v>
      </c>
      <c r="Q135" s="351"/>
      <c r="R135" s="351"/>
      <c r="S135" s="351">
        <f t="shared" si="327"/>
        <v>0</v>
      </c>
      <c r="T135" s="351"/>
      <c r="U135" s="351"/>
      <c r="V135" s="351">
        <f t="shared" si="328"/>
        <v>0</v>
      </c>
      <c r="W135" s="413">
        <f t="shared" si="329"/>
        <v>2500</v>
      </c>
      <c r="X135" s="413">
        <f t="shared" si="330"/>
        <v>2500</v>
      </c>
      <c r="Y135" s="413">
        <f t="shared" si="331"/>
        <v>0</v>
      </c>
      <c r="Z135" s="560">
        <f t="shared" si="332"/>
        <v>0</v>
      </c>
      <c r="AA135" s="547"/>
      <c r="AB135" s="570"/>
      <c r="AC135" s="440"/>
      <c r="AD135" s="440"/>
      <c r="AE135" s="440"/>
      <c r="AF135" s="440"/>
      <c r="AG135" s="440"/>
    </row>
    <row r="136" spans="1:33" s="441" customFormat="1" ht="30" customHeight="1">
      <c r="A136" s="406" t="s">
        <v>51</v>
      </c>
      <c r="B136" s="407" t="s">
        <v>392</v>
      </c>
      <c r="C136" s="349" t="s">
        <v>137</v>
      </c>
      <c r="D136" s="408" t="s">
        <v>73</v>
      </c>
      <c r="E136" s="351">
        <v>1</v>
      </c>
      <c r="F136" s="351">
        <v>4000</v>
      </c>
      <c r="G136" s="351">
        <f t="shared" si="323"/>
        <v>4000</v>
      </c>
      <c r="H136" s="351">
        <v>1</v>
      </c>
      <c r="I136" s="351">
        <v>4000</v>
      </c>
      <c r="J136" s="351">
        <f t="shared" si="324"/>
        <v>4000</v>
      </c>
      <c r="K136" s="351"/>
      <c r="L136" s="351"/>
      <c r="M136" s="351">
        <f t="shared" si="325"/>
        <v>0</v>
      </c>
      <c r="N136" s="351"/>
      <c r="O136" s="351"/>
      <c r="P136" s="351">
        <f t="shared" si="326"/>
        <v>0</v>
      </c>
      <c r="Q136" s="351"/>
      <c r="R136" s="351"/>
      <c r="S136" s="351">
        <f t="shared" si="327"/>
        <v>0</v>
      </c>
      <c r="T136" s="351"/>
      <c r="U136" s="351"/>
      <c r="V136" s="351">
        <f t="shared" si="328"/>
        <v>0</v>
      </c>
      <c r="W136" s="413">
        <f t="shared" si="329"/>
        <v>4000</v>
      </c>
      <c r="X136" s="413">
        <f t="shared" si="330"/>
        <v>4000</v>
      </c>
      <c r="Y136" s="413">
        <f t="shared" si="331"/>
        <v>0</v>
      </c>
      <c r="Z136" s="560">
        <f t="shared" si="332"/>
        <v>0</v>
      </c>
      <c r="AA136" s="547"/>
      <c r="AB136" s="570"/>
      <c r="AC136" s="440"/>
      <c r="AD136" s="440"/>
      <c r="AE136" s="440"/>
      <c r="AF136" s="440"/>
      <c r="AG136" s="440"/>
    </row>
    <row r="137" spans="1:33" s="441" customFormat="1" ht="30" customHeight="1">
      <c r="A137" s="406" t="s">
        <v>51</v>
      </c>
      <c r="B137" s="407" t="s">
        <v>393</v>
      </c>
      <c r="C137" s="349" t="s">
        <v>138</v>
      </c>
      <c r="D137" s="408" t="s">
        <v>73</v>
      </c>
      <c r="E137" s="351">
        <v>1</v>
      </c>
      <c r="F137" s="351">
        <v>6000</v>
      </c>
      <c r="G137" s="351">
        <f t="shared" si="323"/>
        <v>6000</v>
      </c>
      <c r="H137" s="351">
        <v>1</v>
      </c>
      <c r="I137" s="351">
        <v>6000</v>
      </c>
      <c r="J137" s="351">
        <f t="shared" si="324"/>
        <v>6000</v>
      </c>
      <c r="K137" s="351"/>
      <c r="L137" s="351"/>
      <c r="M137" s="351">
        <f t="shared" si="325"/>
        <v>0</v>
      </c>
      <c r="N137" s="351"/>
      <c r="O137" s="351"/>
      <c r="P137" s="351">
        <f t="shared" si="326"/>
        <v>0</v>
      </c>
      <c r="Q137" s="351"/>
      <c r="R137" s="351"/>
      <c r="S137" s="351">
        <f t="shared" si="327"/>
        <v>0</v>
      </c>
      <c r="T137" s="351"/>
      <c r="U137" s="351"/>
      <c r="V137" s="351">
        <f t="shared" si="328"/>
        <v>0</v>
      </c>
      <c r="W137" s="413">
        <f t="shared" si="329"/>
        <v>6000</v>
      </c>
      <c r="X137" s="413">
        <f t="shared" si="330"/>
        <v>6000</v>
      </c>
      <c r="Y137" s="413">
        <f t="shared" si="331"/>
        <v>0</v>
      </c>
      <c r="Z137" s="560">
        <f t="shared" si="332"/>
        <v>0</v>
      </c>
      <c r="AA137" s="547"/>
      <c r="AB137" s="570"/>
      <c r="AC137" s="440"/>
      <c r="AD137" s="440"/>
      <c r="AE137" s="440"/>
      <c r="AF137" s="440"/>
      <c r="AG137" s="440"/>
    </row>
    <row r="138" spans="1:33" s="441" customFormat="1" ht="30" customHeight="1">
      <c r="A138" s="406" t="s">
        <v>51</v>
      </c>
      <c r="B138" s="407" t="s">
        <v>394</v>
      </c>
      <c r="C138" s="349" t="s">
        <v>395</v>
      </c>
      <c r="D138" s="408" t="s">
        <v>73</v>
      </c>
      <c r="E138" s="351">
        <v>1</v>
      </c>
      <c r="F138" s="351">
        <v>6000</v>
      </c>
      <c r="G138" s="351">
        <f t="shared" si="323"/>
        <v>6000</v>
      </c>
      <c r="H138" s="351">
        <v>1</v>
      </c>
      <c r="I138" s="351">
        <v>6000</v>
      </c>
      <c r="J138" s="351">
        <f t="shared" si="324"/>
        <v>6000</v>
      </c>
      <c r="K138" s="351"/>
      <c r="L138" s="351"/>
      <c r="M138" s="351">
        <f t="shared" si="325"/>
        <v>0</v>
      </c>
      <c r="N138" s="351"/>
      <c r="O138" s="351"/>
      <c r="P138" s="351">
        <f t="shared" si="326"/>
        <v>0</v>
      </c>
      <c r="Q138" s="351"/>
      <c r="R138" s="351"/>
      <c r="S138" s="351">
        <f t="shared" si="327"/>
        <v>0</v>
      </c>
      <c r="T138" s="351"/>
      <c r="U138" s="351"/>
      <c r="V138" s="351">
        <f t="shared" si="328"/>
        <v>0</v>
      </c>
      <c r="W138" s="413">
        <f t="shared" si="329"/>
        <v>6000</v>
      </c>
      <c r="X138" s="413">
        <f t="shared" si="330"/>
        <v>6000</v>
      </c>
      <c r="Y138" s="413">
        <f t="shared" si="331"/>
        <v>0</v>
      </c>
      <c r="Z138" s="560">
        <f t="shared" si="332"/>
        <v>0</v>
      </c>
      <c r="AA138" s="547"/>
      <c r="AB138" s="570"/>
      <c r="AC138" s="440"/>
      <c r="AD138" s="440"/>
      <c r="AE138" s="440"/>
      <c r="AF138" s="440"/>
      <c r="AG138" s="440"/>
    </row>
    <row r="139" spans="1:33" s="441" customFormat="1" ht="30" customHeight="1">
      <c r="A139" s="410" t="s">
        <v>51</v>
      </c>
      <c r="B139" s="411" t="s">
        <v>396</v>
      </c>
      <c r="C139" s="349" t="s">
        <v>139</v>
      </c>
      <c r="D139" s="350" t="s">
        <v>96</v>
      </c>
      <c r="E139" s="351">
        <v>2</v>
      </c>
      <c r="F139" s="351">
        <v>5200</v>
      </c>
      <c r="G139" s="351">
        <f t="shared" si="323"/>
        <v>10400</v>
      </c>
      <c r="H139" s="351">
        <v>2</v>
      </c>
      <c r="I139" s="351">
        <v>5200</v>
      </c>
      <c r="J139" s="351">
        <f t="shared" si="324"/>
        <v>10400</v>
      </c>
      <c r="K139" s="351"/>
      <c r="L139" s="351"/>
      <c r="M139" s="351">
        <f t="shared" si="325"/>
        <v>0</v>
      </c>
      <c r="N139" s="351"/>
      <c r="O139" s="351"/>
      <c r="P139" s="351">
        <f t="shared" si="326"/>
        <v>0</v>
      </c>
      <c r="Q139" s="351"/>
      <c r="R139" s="351"/>
      <c r="S139" s="351">
        <f t="shared" si="327"/>
        <v>0</v>
      </c>
      <c r="T139" s="351"/>
      <c r="U139" s="351"/>
      <c r="V139" s="351">
        <f t="shared" si="328"/>
        <v>0</v>
      </c>
      <c r="W139" s="413">
        <f t="shared" si="329"/>
        <v>10400</v>
      </c>
      <c r="X139" s="413">
        <f t="shared" si="330"/>
        <v>10400</v>
      </c>
      <c r="Y139" s="413">
        <f t="shared" si="331"/>
        <v>0</v>
      </c>
      <c r="Z139" s="560">
        <f t="shared" si="332"/>
        <v>0</v>
      </c>
      <c r="AA139" s="547"/>
      <c r="AB139" s="570"/>
      <c r="AC139" s="440"/>
      <c r="AD139" s="440"/>
      <c r="AE139" s="440"/>
      <c r="AF139" s="440"/>
      <c r="AG139" s="440"/>
    </row>
    <row r="140" spans="1:33" s="441" customFormat="1" ht="30" customHeight="1">
      <c r="A140" s="410" t="s">
        <v>51</v>
      </c>
      <c r="B140" s="411" t="s">
        <v>397</v>
      </c>
      <c r="C140" s="356" t="s">
        <v>140</v>
      </c>
      <c r="D140" s="350" t="s">
        <v>96</v>
      </c>
      <c r="E140" s="351">
        <v>2</v>
      </c>
      <c r="F140" s="351">
        <v>6000</v>
      </c>
      <c r="G140" s="351">
        <f t="shared" si="323"/>
        <v>12000</v>
      </c>
      <c r="H140" s="351">
        <v>2</v>
      </c>
      <c r="I140" s="351">
        <v>6000</v>
      </c>
      <c r="J140" s="351">
        <f t="shared" si="324"/>
        <v>12000</v>
      </c>
      <c r="K140" s="351"/>
      <c r="L140" s="351"/>
      <c r="M140" s="351">
        <f t="shared" si="325"/>
        <v>0</v>
      </c>
      <c r="N140" s="351"/>
      <c r="O140" s="351"/>
      <c r="P140" s="351">
        <f t="shared" si="326"/>
        <v>0</v>
      </c>
      <c r="Q140" s="351"/>
      <c r="R140" s="351"/>
      <c r="S140" s="351">
        <f t="shared" si="327"/>
        <v>0</v>
      </c>
      <c r="T140" s="351"/>
      <c r="U140" s="351"/>
      <c r="V140" s="351">
        <f t="shared" si="328"/>
        <v>0</v>
      </c>
      <c r="W140" s="413">
        <f t="shared" si="329"/>
        <v>12000</v>
      </c>
      <c r="X140" s="413">
        <f t="shared" si="330"/>
        <v>12000</v>
      </c>
      <c r="Y140" s="413">
        <f t="shared" si="331"/>
        <v>0</v>
      </c>
      <c r="Z140" s="560">
        <f t="shared" si="332"/>
        <v>0</v>
      </c>
      <c r="AA140" s="547"/>
      <c r="AB140" s="570"/>
      <c r="AC140" s="440"/>
      <c r="AD140" s="440"/>
      <c r="AE140" s="440"/>
      <c r="AF140" s="440"/>
      <c r="AG140" s="440"/>
    </row>
    <row r="141" spans="1:33" s="439" customFormat="1" ht="30" customHeight="1">
      <c r="A141" s="443" t="s">
        <v>51</v>
      </c>
      <c r="B141" s="444" t="s">
        <v>141</v>
      </c>
      <c r="C141" s="445" t="s">
        <v>142</v>
      </c>
      <c r="D141" s="446" t="s">
        <v>96</v>
      </c>
      <c r="E141" s="447">
        <v>1</v>
      </c>
      <c r="F141" s="448">
        <v>4000</v>
      </c>
      <c r="G141" s="449">
        <f t="shared" si="323"/>
        <v>4000</v>
      </c>
      <c r="H141" s="447">
        <v>1</v>
      </c>
      <c r="I141" s="448">
        <v>4000</v>
      </c>
      <c r="J141" s="449">
        <f t="shared" si="324"/>
        <v>4000</v>
      </c>
      <c r="K141" s="447"/>
      <c r="L141" s="448"/>
      <c r="M141" s="367">
        <f t="shared" si="325"/>
        <v>0</v>
      </c>
      <c r="N141" s="447"/>
      <c r="O141" s="448"/>
      <c r="P141" s="367">
        <f t="shared" si="326"/>
        <v>0</v>
      </c>
      <c r="Q141" s="447"/>
      <c r="R141" s="448"/>
      <c r="S141" s="351">
        <f t="shared" si="327"/>
        <v>0</v>
      </c>
      <c r="T141" s="447"/>
      <c r="U141" s="448"/>
      <c r="V141" s="351">
        <f t="shared" si="328"/>
        <v>0</v>
      </c>
      <c r="W141" s="413">
        <f t="shared" si="329"/>
        <v>4000</v>
      </c>
      <c r="X141" s="413">
        <f t="shared" si="330"/>
        <v>4000</v>
      </c>
      <c r="Y141" s="413">
        <f t="shared" si="331"/>
        <v>0</v>
      </c>
      <c r="Z141" s="560">
        <f t="shared" si="332"/>
        <v>0</v>
      </c>
      <c r="AA141" s="547"/>
      <c r="AB141" s="438"/>
      <c r="AC141" s="438"/>
      <c r="AD141" s="438"/>
      <c r="AE141" s="438"/>
      <c r="AF141" s="438"/>
      <c r="AG141" s="438"/>
    </row>
    <row r="142" spans="1:33" s="335" customFormat="1" ht="40.5" customHeight="1">
      <c r="A142" s="410" t="s">
        <v>51</v>
      </c>
      <c r="B142" s="411" t="s">
        <v>143</v>
      </c>
      <c r="C142" s="349" t="s">
        <v>144</v>
      </c>
      <c r="D142" s="418" t="s">
        <v>96</v>
      </c>
      <c r="E142" s="330">
        <v>1</v>
      </c>
      <c r="F142" s="331">
        <v>1200</v>
      </c>
      <c r="G142" s="332">
        <f t="shared" si="323"/>
        <v>1200</v>
      </c>
      <c r="H142" s="330">
        <v>1</v>
      </c>
      <c r="I142" s="331">
        <v>1200</v>
      </c>
      <c r="J142" s="332">
        <f t="shared" si="324"/>
        <v>1200</v>
      </c>
      <c r="K142" s="330"/>
      <c r="L142" s="331"/>
      <c r="M142" s="376">
        <f t="shared" si="325"/>
        <v>0</v>
      </c>
      <c r="N142" s="330"/>
      <c r="O142" s="331"/>
      <c r="P142" s="376">
        <f t="shared" si="326"/>
        <v>0</v>
      </c>
      <c r="Q142" s="330"/>
      <c r="R142" s="331"/>
      <c r="S142" s="351">
        <f t="shared" si="327"/>
        <v>0</v>
      </c>
      <c r="T142" s="330"/>
      <c r="U142" s="331"/>
      <c r="V142" s="351">
        <f t="shared" si="328"/>
        <v>0</v>
      </c>
      <c r="W142" s="413">
        <f t="shared" si="329"/>
        <v>1200</v>
      </c>
      <c r="X142" s="413">
        <f t="shared" si="330"/>
        <v>1200</v>
      </c>
      <c r="Y142" s="413">
        <f t="shared" si="331"/>
        <v>0</v>
      </c>
      <c r="Z142" s="560">
        <f t="shared" si="332"/>
        <v>0</v>
      </c>
      <c r="AA142" s="547"/>
      <c r="AB142" s="438"/>
      <c r="AC142" s="334"/>
      <c r="AD142" s="334"/>
      <c r="AE142" s="334"/>
      <c r="AF142" s="334"/>
      <c r="AG142" s="334"/>
    </row>
    <row r="143" spans="1:33" s="335" customFormat="1" ht="36" customHeight="1">
      <c r="A143" s="410" t="s">
        <v>51</v>
      </c>
      <c r="B143" s="411" t="s">
        <v>145</v>
      </c>
      <c r="C143" s="356" t="s">
        <v>658</v>
      </c>
      <c r="D143" s="418" t="s">
        <v>96</v>
      </c>
      <c r="E143" s="330">
        <v>1</v>
      </c>
      <c r="F143" s="331">
        <v>10000</v>
      </c>
      <c r="G143" s="332">
        <f t="shared" si="323"/>
        <v>10000</v>
      </c>
      <c r="H143" s="330">
        <v>1</v>
      </c>
      <c r="I143" s="331">
        <v>10000</v>
      </c>
      <c r="J143" s="332">
        <f t="shared" si="324"/>
        <v>10000</v>
      </c>
      <c r="K143" s="330"/>
      <c r="L143" s="331"/>
      <c r="M143" s="376">
        <f t="shared" si="325"/>
        <v>0</v>
      </c>
      <c r="N143" s="330"/>
      <c r="O143" s="331"/>
      <c r="P143" s="376">
        <f t="shared" si="326"/>
        <v>0</v>
      </c>
      <c r="Q143" s="330"/>
      <c r="R143" s="331"/>
      <c r="S143" s="351">
        <f t="shared" si="327"/>
        <v>0</v>
      </c>
      <c r="T143" s="330"/>
      <c r="U143" s="331"/>
      <c r="V143" s="351">
        <f t="shared" si="328"/>
        <v>0</v>
      </c>
      <c r="W143" s="413">
        <f t="shared" si="329"/>
        <v>10000</v>
      </c>
      <c r="X143" s="413">
        <f t="shared" si="330"/>
        <v>10000</v>
      </c>
      <c r="Y143" s="413">
        <f t="shared" si="331"/>
        <v>0</v>
      </c>
      <c r="Z143" s="560">
        <f t="shared" si="332"/>
        <v>0</v>
      </c>
      <c r="AA143" s="547"/>
      <c r="AB143" s="438"/>
      <c r="AC143" s="334"/>
      <c r="AD143" s="334"/>
      <c r="AE143" s="334"/>
      <c r="AF143" s="334"/>
      <c r="AG143" s="334"/>
    </row>
    <row r="144" spans="1:33" s="335" customFormat="1" ht="51.75" customHeight="1">
      <c r="A144" s="410" t="s">
        <v>51</v>
      </c>
      <c r="B144" s="411" t="s">
        <v>147</v>
      </c>
      <c r="C144" s="356" t="s">
        <v>148</v>
      </c>
      <c r="D144" s="418" t="s">
        <v>96</v>
      </c>
      <c r="E144" s="330">
        <v>1000</v>
      </c>
      <c r="F144" s="331">
        <v>5</v>
      </c>
      <c r="G144" s="332">
        <f>E144*F144</f>
        <v>5000</v>
      </c>
      <c r="H144" s="330">
        <v>1000</v>
      </c>
      <c r="I144" s="331">
        <v>5</v>
      </c>
      <c r="J144" s="332">
        <f t="shared" si="324"/>
        <v>5000</v>
      </c>
      <c r="K144" s="330"/>
      <c r="L144" s="331"/>
      <c r="M144" s="376">
        <f t="shared" si="325"/>
        <v>0</v>
      </c>
      <c r="N144" s="330"/>
      <c r="O144" s="331"/>
      <c r="P144" s="376">
        <f t="shared" si="326"/>
        <v>0</v>
      </c>
      <c r="Q144" s="330"/>
      <c r="R144" s="331"/>
      <c r="S144" s="351">
        <f t="shared" si="327"/>
        <v>0</v>
      </c>
      <c r="T144" s="330"/>
      <c r="U144" s="331"/>
      <c r="V144" s="351">
        <f t="shared" si="328"/>
        <v>0</v>
      </c>
      <c r="W144" s="413">
        <f t="shared" si="329"/>
        <v>5000</v>
      </c>
      <c r="X144" s="413">
        <f t="shared" si="330"/>
        <v>5000</v>
      </c>
      <c r="Y144" s="413">
        <f t="shared" si="331"/>
        <v>0</v>
      </c>
      <c r="Z144" s="560">
        <f t="shared" si="332"/>
        <v>0</v>
      </c>
      <c r="AA144" s="547"/>
      <c r="AB144" s="438"/>
      <c r="AC144" s="334"/>
      <c r="AD144" s="334"/>
      <c r="AE144" s="334"/>
      <c r="AF144" s="334"/>
      <c r="AG144" s="334"/>
    </row>
    <row r="145" spans="1:33" s="335" customFormat="1" ht="34.5" customHeight="1">
      <c r="A145" s="410" t="s">
        <v>51</v>
      </c>
      <c r="B145" s="411" t="s">
        <v>149</v>
      </c>
      <c r="C145" s="356" t="s">
        <v>150</v>
      </c>
      <c r="D145" s="418" t="s">
        <v>96</v>
      </c>
      <c r="E145" s="330">
        <v>100</v>
      </c>
      <c r="F145" s="331">
        <v>36</v>
      </c>
      <c r="G145" s="332">
        <f t="shared" si="323"/>
        <v>3600</v>
      </c>
      <c r="H145" s="330">
        <v>100</v>
      </c>
      <c r="I145" s="331">
        <v>36</v>
      </c>
      <c r="J145" s="332">
        <f t="shared" si="324"/>
        <v>3600</v>
      </c>
      <c r="K145" s="330"/>
      <c r="L145" s="331"/>
      <c r="M145" s="376">
        <f t="shared" si="325"/>
        <v>0</v>
      </c>
      <c r="N145" s="330"/>
      <c r="O145" s="331"/>
      <c r="P145" s="376">
        <f t="shared" si="326"/>
        <v>0</v>
      </c>
      <c r="Q145" s="330"/>
      <c r="R145" s="331"/>
      <c r="S145" s="351">
        <f t="shared" si="327"/>
        <v>0</v>
      </c>
      <c r="T145" s="330"/>
      <c r="U145" s="331"/>
      <c r="V145" s="351">
        <f t="shared" si="328"/>
        <v>0</v>
      </c>
      <c r="W145" s="413">
        <f t="shared" si="329"/>
        <v>3600</v>
      </c>
      <c r="X145" s="413">
        <f t="shared" si="330"/>
        <v>3600</v>
      </c>
      <c r="Y145" s="413">
        <f t="shared" si="331"/>
        <v>0</v>
      </c>
      <c r="Z145" s="560">
        <f t="shared" si="332"/>
        <v>0</v>
      </c>
      <c r="AA145" s="547"/>
      <c r="AB145" s="438"/>
      <c r="AC145" s="334"/>
      <c r="AD145" s="334"/>
      <c r="AE145" s="334"/>
      <c r="AF145" s="334"/>
      <c r="AG145" s="334"/>
    </row>
    <row r="146" spans="1:33" s="335" customFormat="1" ht="30" customHeight="1">
      <c r="A146" s="410" t="s">
        <v>51</v>
      </c>
      <c r="B146" s="411" t="s">
        <v>151</v>
      </c>
      <c r="C146" s="349" t="s">
        <v>152</v>
      </c>
      <c r="D146" s="418" t="s">
        <v>96</v>
      </c>
      <c r="E146" s="330"/>
      <c r="F146" s="331"/>
      <c r="G146" s="332"/>
      <c r="H146" s="330"/>
      <c r="I146" s="331"/>
      <c r="J146" s="332"/>
      <c r="K146" s="330">
        <v>120</v>
      </c>
      <c r="L146" s="331">
        <v>40</v>
      </c>
      <c r="M146" s="376">
        <f t="shared" si="325"/>
        <v>4800</v>
      </c>
      <c r="N146" s="330">
        <v>120</v>
      </c>
      <c r="O146" s="331">
        <v>40</v>
      </c>
      <c r="P146" s="376">
        <f t="shared" si="326"/>
        <v>4800</v>
      </c>
      <c r="Q146" s="330"/>
      <c r="R146" s="331"/>
      <c r="S146" s="351">
        <f t="shared" si="327"/>
        <v>0</v>
      </c>
      <c r="T146" s="330"/>
      <c r="U146" s="331"/>
      <c r="V146" s="351">
        <f t="shared" si="328"/>
        <v>0</v>
      </c>
      <c r="W146" s="413">
        <f t="shared" si="329"/>
        <v>4800</v>
      </c>
      <c r="X146" s="413">
        <f t="shared" si="330"/>
        <v>4800</v>
      </c>
      <c r="Y146" s="413">
        <f t="shared" si="331"/>
        <v>0</v>
      </c>
      <c r="Z146" s="560">
        <f t="shared" si="332"/>
        <v>0</v>
      </c>
      <c r="AA146" s="547"/>
      <c r="AB146" s="438"/>
      <c r="AC146" s="334"/>
      <c r="AD146" s="334"/>
      <c r="AE146" s="334"/>
      <c r="AF146" s="334"/>
      <c r="AG146" s="334"/>
    </row>
    <row r="147" spans="1:33" ht="45" customHeight="1" thickBot="1">
      <c r="A147" s="146" t="s">
        <v>51</v>
      </c>
      <c r="B147" s="147" t="s">
        <v>396</v>
      </c>
      <c r="C147" s="247" t="s">
        <v>406</v>
      </c>
      <c r="D147" s="237"/>
      <c r="E147" s="130"/>
      <c r="F147" s="131">
        <v>0.22</v>
      </c>
      <c r="G147" s="132">
        <f t="shared" si="323"/>
        <v>0</v>
      </c>
      <c r="H147" s="130"/>
      <c r="I147" s="131">
        <v>0.22</v>
      </c>
      <c r="J147" s="132">
        <f t="shared" si="324"/>
        <v>0</v>
      </c>
      <c r="K147" s="130"/>
      <c r="L147" s="131">
        <v>0.22</v>
      </c>
      <c r="M147" s="132">
        <f t="shared" si="325"/>
        <v>0</v>
      </c>
      <c r="N147" s="130"/>
      <c r="O147" s="131">
        <v>0.22</v>
      </c>
      <c r="P147" s="132">
        <f t="shared" si="326"/>
        <v>0</v>
      </c>
      <c r="Q147" s="130"/>
      <c r="R147" s="131">
        <v>0.22</v>
      </c>
      <c r="S147" s="132">
        <f t="shared" si="327"/>
        <v>0</v>
      </c>
      <c r="T147" s="130"/>
      <c r="U147" s="131">
        <v>0.22</v>
      </c>
      <c r="V147" s="238">
        <f t="shared" si="328"/>
        <v>0</v>
      </c>
      <c r="W147" s="248">
        <f t="shared" si="329"/>
        <v>0</v>
      </c>
      <c r="X147" s="249">
        <f t="shared" si="330"/>
        <v>0</v>
      </c>
      <c r="Y147" s="249">
        <f t="shared" si="331"/>
        <v>0</v>
      </c>
      <c r="Z147" s="561" t="e">
        <f t="shared" si="332"/>
        <v>#DIV/0!</v>
      </c>
      <c r="AA147" s="549"/>
      <c r="AB147" s="569"/>
      <c r="AC147" s="76"/>
      <c r="AD147" s="76"/>
      <c r="AE147" s="76"/>
      <c r="AF147" s="76"/>
      <c r="AG147" s="76"/>
    </row>
    <row r="148" spans="1:33" ht="30" customHeight="1" thickBot="1">
      <c r="A148" s="250" t="s">
        <v>158</v>
      </c>
      <c r="B148" s="251"/>
      <c r="C148" s="252"/>
      <c r="D148" s="173"/>
      <c r="E148" s="177">
        <f>SUM(E129:E146)</f>
        <v>2112</v>
      </c>
      <c r="F148" s="177"/>
      <c r="G148" s="177">
        <f>SUM(G129:G147)</f>
        <v>142280</v>
      </c>
      <c r="H148" s="177">
        <f>SUM(H129:H145)</f>
        <v>2112</v>
      </c>
      <c r="I148" s="189"/>
      <c r="J148" s="176">
        <f>SUM(J129:J147)</f>
        <v>142348</v>
      </c>
      <c r="K148" s="190">
        <f>SUM(K129:K138)</f>
        <v>0</v>
      </c>
      <c r="L148" s="189"/>
      <c r="M148" s="176">
        <f>SUM(M129:M147)</f>
        <v>4800</v>
      </c>
      <c r="N148" s="176">
        <f>SUM(N129:N147)</f>
        <v>120</v>
      </c>
      <c r="O148" s="189"/>
      <c r="P148" s="176">
        <f>SUM(P129:P147)</f>
        <v>4800</v>
      </c>
      <c r="Q148" s="190">
        <f>SUM(Q129:Q138)</f>
        <v>0</v>
      </c>
      <c r="R148" s="189"/>
      <c r="S148" s="176">
        <f>SUM(S129:S147)</f>
        <v>0</v>
      </c>
      <c r="T148" s="190">
        <f>SUM(T129:T138)</f>
        <v>0</v>
      </c>
      <c r="U148" s="189"/>
      <c r="V148" s="178">
        <f>SUM(V129:V147)</f>
        <v>0</v>
      </c>
      <c r="W148" s="229">
        <f>SUM(W129:W147)</f>
        <v>147080</v>
      </c>
      <c r="X148" s="229">
        <f>SUM(X129:X147)</f>
        <v>147148</v>
      </c>
      <c r="Y148" s="229">
        <f t="shared" ref="Y148" si="333">SUM(Y129:Y147)</f>
        <v>-68</v>
      </c>
      <c r="Z148" s="557">
        <f t="shared" si="332"/>
        <v>-4.6233342398694586E-4</v>
      </c>
      <c r="AA148" s="577"/>
      <c r="AB148" s="569"/>
      <c r="AC148" s="76"/>
      <c r="AD148" s="76"/>
      <c r="AE148" s="76"/>
      <c r="AF148" s="76"/>
      <c r="AG148" s="76"/>
    </row>
    <row r="149" spans="1:33" ht="30" customHeight="1" thickBot="1">
      <c r="A149" s="180" t="s">
        <v>49</v>
      </c>
      <c r="B149" s="215">
        <v>8</v>
      </c>
      <c r="C149" s="253" t="s">
        <v>159</v>
      </c>
      <c r="D149" s="183"/>
      <c r="E149" s="103"/>
      <c r="F149" s="103"/>
      <c r="G149" s="103"/>
      <c r="H149" s="103"/>
      <c r="I149" s="103"/>
      <c r="J149" s="103"/>
      <c r="K149" s="103"/>
      <c r="L149" s="103"/>
      <c r="M149" s="103"/>
      <c r="N149" s="103"/>
      <c r="O149" s="103"/>
      <c r="P149" s="103"/>
      <c r="Q149" s="103"/>
      <c r="R149" s="103"/>
      <c r="S149" s="103"/>
      <c r="T149" s="103"/>
      <c r="U149" s="103"/>
      <c r="V149" s="103"/>
      <c r="W149" s="231"/>
      <c r="X149" s="231"/>
      <c r="Y149" s="184"/>
      <c r="Z149" s="231"/>
      <c r="AA149" s="578"/>
      <c r="AB149" s="568"/>
      <c r="AC149" s="114"/>
      <c r="AD149" s="114"/>
      <c r="AE149" s="114"/>
      <c r="AF149" s="114"/>
      <c r="AG149" s="114"/>
    </row>
    <row r="150" spans="1:33" ht="30" customHeight="1">
      <c r="A150" s="115" t="s">
        <v>51</v>
      </c>
      <c r="B150" s="116" t="s">
        <v>407</v>
      </c>
      <c r="C150" s="187" t="s">
        <v>160</v>
      </c>
      <c r="D150" s="117" t="s">
        <v>161</v>
      </c>
      <c r="E150" s="118"/>
      <c r="F150" s="119"/>
      <c r="G150" s="120">
        <f t="shared" ref="G150:G155" si="334">E150*F150</f>
        <v>0</v>
      </c>
      <c r="H150" s="118"/>
      <c r="I150" s="119"/>
      <c r="J150" s="120">
        <f t="shared" ref="J150:J155" si="335">H150*I150</f>
        <v>0</v>
      </c>
      <c r="K150" s="118"/>
      <c r="L150" s="119"/>
      <c r="M150" s="120">
        <f t="shared" ref="M150:M155" si="336">K150*L150</f>
        <v>0</v>
      </c>
      <c r="N150" s="118"/>
      <c r="O150" s="119"/>
      <c r="P150" s="120">
        <f t="shared" ref="P150:P155" si="337">N150*O150</f>
        <v>0</v>
      </c>
      <c r="Q150" s="118"/>
      <c r="R150" s="119"/>
      <c r="S150" s="120">
        <f t="shared" ref="S150:S155" si="338">Q150*R150</f>
        <v>0</v>
      </c>
      <c r="T150" s="118"/>
      <c r="U150" s="119"/>
      <c r="V150" s="232">
        <f t="shared" ref="V150:V155" si="339">T150*U150</f>
        <v>0</v>
      </c>
      <c r="W150" s="233">
        <f t="shared" ref="W150:W155" si="340">G150+M150+S150</f>
        <v>0</v>
      </c>
      <c r="X150" s="234">
        <f t="shared" ref="X150:X155" si="341">J150+P150+V150</f>
        <v>0</v>
      </c>
      <c r="Y150" s="234">
        <f t="shared" ref="Y150:Y156" si="342">W150-X150</f>
        <v>0</v>
      </c>
      <c r="Z150" s="562" t="e">
        <f t="shared" ref="Z150:Z156" si="343">Y150/W150</f>
        <v>#DIV/0!</v>
      </c>
      <c r="AA150" s="549"/>
      <c r="AB150" s="567"/>
      <c r="AC150" s="125"/>
      <c r="AD150" s="125"/>
      <c r="AE150" s="125"/>
      <c r="AF150" s="125"/>
      <c r="AG150" s="125"/>
    </row>
    <row r="151" spans="1:33" ht="30" customHeight="1">
      <c r="A151" s="115" t="s">
        <v>51</v>
      </c>
      <c r="B151" s="116" t="s">
        <v>408</v>
      </c>
      <c r="C151" s="187" t="s">
        <v>162</v>
      </c>
      <c r="D151" s="117" t="s">
        <v>161</v>
      </c>
      <c r="E151" s="118"/>
      <c r="F151" s="119"/>
      <c r="G151" s="120">
        <f t="shared" si="334"/>
        <v>0</v>
      </c>
      <c r="H151" s="118"/>
      <c r="I151" s="119"/>
      <c r="J151" s="120">
        <f t="shared" si="335"/>
        <v>0</v>
      </c>
      <c r="K151" s="118"/>
      <c r="L151" s="119"/>
      <c r="M151" s="120">
        <f t="shared" si="336"/>
        <v>0</v>
      </c>
      <c r="N151" s="118"/>
      <c r="O151" s="119"/>
      <c r="P151" s="120">
        <f t="shared" si="337"/>
        <v>0</v>
      </c>
      <c r="Q151" s="118"/>
      <c r="R151" s="119"/>
      <c r="S151" s="120">
        <f t="shared" si="338"/>
        <v>0</v>
      </c>
      <c r="T151" s="118"/>
      <c r="U151" s="119"/>
      <c r="V151" s="232">
        <f t="shared" si="339"/>
        <v>0</v>
      </c>
      <c r="W151" s="235">
        <f t="shared" si="340"/>
        <v>0</v>
      </c>
      <c r="X151" s="122">
        <f t="shared" si="341"/>
        <v>0</v>
      </c>
      <c r="Y151" s="122">
        <f t="shared" si="342"/>
        <v>0</v>
      </c>
      <c r="Z151" s="554" t="e">
        <f t="shared" si="343"/>
        <v>#DIV/0!</v>
      </c>
      <c r="AA151" s="549"/>
      <c r="AB151" s="567"/>
      <c r="AC151" s="125"/>
      <c r="AD151" s="125"/>
      <c r="AE151" s="125"/>
      <c r="AF151" s="125"/>
      <c r="AG151" s="125"/>
    </row>
    <row r="152" spans="1:33" s="335" customFormat="1" ht="30" customHeight="1">
      <c r="A152" s="361" t="s">
        <v>51</v>
      </c>
      <c r="B152" s="386" t="s">
        <v>409</v>
      </c>
      <c r="C152" s="380" t="s">
        <v>410</v>
      </c>
      <c r="D152" s="388" t="s">
        <v>163</v>
      </c>
      <c r="E152" s="450">
        <v>300</v>
      </c>
      <c r="F152" s="451">
        <v>270</v>
      </c>
      <c r="G152" s="376">
        <f t="shared" si="334"/>
        <v>81000</v>
      </c>
      <c r="H152" s="450">
        <v>300</v>
      </c>
      <c r="I152" s="451">
        <v>270</v>
      </c>
      <c r="J152" s="376">
        <f t="shared" si="335"/>
        <v>81000</v>
      </c>
      <c r="K152" s="377"/>
      <c r="L152" s="375"/>
      <c r="M152" s="376">
        <f t="shared" si="336"/>
        <v>0</v>
      </c>
      <c r="N152" s="377"/>
      <c r="O152" s="375"/>
      <c r="P152" s="376">
        <f t="shared" si="337"/>
        <v>0</v>
      </c>
      <c r="Q152" s="377"/>
      <c r="R152" s="375"/>
      <c r="S152" s="376">
        <f t="shared" si="338"/>
        <v>0</v>
      </c>
      <c r="T152" s="377"/>
      <c r="U152" s="375"/>
      <c r="V152" s="378">
        <f t="shared" si="339"/>
        <v>0</v>
      </c>
      <c r="W152" s="437">
        <f t="shared" si="340"/>
        <v>81000</v>
      </c>
      <c r="X152" s="354">
        <f t="shared" si="341"/>
        <v>81000</v>
      </c>
      <c r="Y152" s="354">
        <f t="shared" si="342"/>
        <v>0</v>
      </c>
      <c r="Z152" s="553">
        <f t="shared" si="343"/>
        <v>0</v>
      </c>
      <c r="AA152" s="547"/>
      <c r="AB152" s="438"/>
      <c r="AC152" s="334"/>
      <c r="AD152" s="334"/>
      <c r="AE152" s="334"/>
      <c r="AF152" s="334"/>
      <c r="AG152" s="334"/>
    </row>
    <row r="153" spans="1:33" ht="30" customHeight="1">
      <c r="A153" s="115" t="s">
        <v>51</v>
      </c>
      <c r="B153" s="116" t="s">
        <v>411</v>
      </c>
      <c r="C153" s="187" t="s">
        <v>659</v>
      </c>
      <c r="D153" s="117" t="s">
        <v>163</v>
      </c>
      <c r="E153" s="118"/>
      <c r="F153" s="119"/>
      <c r="G153" s="120">
        <f t="shared" si="334"/>
        <v>0</v>
      </c>
      <c r="H153" s="118"/>
      <c r="I153" s="119"/>
      <c r="J153" s="120">
        <f t="shared" si="335"/>
        <v>0</v>
      </c>
      <c r="K153" s="254"/>
      <c r="L153" s="255"/>
      <c r="M153" s="120">
        <f t="shared" si="336"/>
        <v>0</v>
      </c>
      <c r="N153" s="254"/>
      <c r="O153" s="255"/>
      <c r="P153" s="120">
        <f t="shared" si="337"/>
        <v>0</v>
      </c>
      <c r="Q153" s="254"/>
      <c r="R153" s="255"/>
      <c r="S153" s="120">
        <f t="shared" si="338"/>
        <v>0</v>
      </c>
      <c r="T153" s="254"/>
      <c r="U153" s="255"/>
      <c r="V153" s="232">
        <f t="shared" si="339"/>
        <v>0</v>
      </c>
      <c r="W153" s="239">
        <f t="shared" si="340"/>
        <v>0</v>
      </c>
      <c r="X153" s="122">
        <f t="shared" si="341"/>
        <v>0</v>
      </c>
      <c r="Y153" s="122">
        <f t="shared" si="342"/>
        <v>0</v>
      </c>
      <c r="Z153" s="554" t="e">
        <f t="shared" si="343"/>
        <v>#DIV/0!</v>
      </c>
      <c r="AA153" s="549"/>
      <c r="AB153" s="567"/>
      <c r="AC153" s="125"/>
      <c r="AD153" s="125"/>
      <c r="AE153" s="125"/>
      <c r="AF153" s="125"/>
      <c r="AG153" s="125"/>
    </row>
    <row r="154" spans="1:33" ht="30" customHeight="1">
      <c r="A154" s="115" t="s">
        <v>51</v>
      </c>
      <c r="B154" s="116" t="s">
        <v>412</v>
      </c>
      <c r="C154" s="187" t="s">
        <v>164</v>
      </c>
      <c r="D154" s="117" t="s">
        <v>163</v>
      </c>
      <c r="E154" s="118"/>
      <c r="F154" s="119"/>
      <c r="G154" s="120">
        <f t="shared" si="334"/>
        <v>0</v>
      </c>
      <c r="H154" s="118"/>
      <c r="I154" s="119"/>
      <c r="J154" s="120">
        <f t="shared" si="335"/>
        <v>0</v>
      </c>
      <c r="K154" s="118"/>
      <c r="L154" s="119"/>
      <c r="M154" s="120">
        <f t="shared" si="336"/>
        <v>0</v>
      </c>
      <c r="N154" s="118"/>
      <c r="O154" s="119"/>
      <c r="P154" s="120">
        <f t="shared" si="337"/>
        <v>0</v>
      </c>
      <c r="Q154" s="118"/>
      <c r="R154" s="119"/>
      <c r="S154" s="120">
        <f t="shared" si="338"/>
        <v>0</v>
      </c>
      <c r="T154" s="118"/>
      <c r="U154" s="119"/>
      <c r="V154" s="232">
        <f t="shared" si="339"/>
        <v>0</v>
      </c>
      <c r="W154" s="235">
        <f t="shared" si="340"/>
        <v>0</v>
      </c>
      <c r="X154" s="122">
        <f t="shared" si="341"/>
        <v>0</v>
      </c>
      <c r="Y154" s="122">
        <f t="shared" si="342"/>
        <v>0</v>
      </c>
      <c r="Z154" s="554" t="e">
        <f t="shared" si="343"/>
        <v>#DIV/0!</v>
      </c>
      <c r="AA154" s="549"/>
      <c r="AB154" s="567"/>
      <c r="AC154" s="125"/>
      <c r="AD154" s="125"/>
      <c r="AE154" s="125"/>
      <c r="AF154" s="125"/>
      <c r="AG154" s="125"/>
    </row>
    <row r="155" spans="1:33" ht="50.25" customHeight="1" thickBot="1">
      <c r="A155" s="127" t="s">
        <v>51</v>
      </c>
      <c r="B155" s="166" t="s">
        <v>660</v>
      </c>
      <c r="C155" s="169" t="s">
        <v>165</v>
      </c>
      <c r="D155" s="129"/>
      <c r="E155" s="130"/>
      <c r="F155" s="131">
        <v>0.22</v>
      </c>
      <c r="G155" s="132">
        <f t="shared" si="334"/>
        <v>0</v>
      </c>
      <c r="H155" s="130"/>
      <c r="I155" s="131">
        <v>0.22</v>
      </c>
      <c r="J155" s="132">
        <f t="shared" si="335"/>
        <v>0</v>
      </c>
      <c r="K155" s="130"/>
      <c r="L155" s="131">
        <v>0.22</v>
      </c>
      <c r="M155" s="132">
        <f t="shared" si="336"/>
        <v>0</v>
      </c>
      <c r="N155" s="130"/>
      <c r="O155" s="131">
        <v>0.22</v>
      </c>
      <c r="P155" s="132">
        <f t="shared" si="337"/>
        <v>0</v>
      </c>
      <c r="Q155" s="130"/>
      <c r="R155" s="131">
        <v>0.22</v>
      </c>
      <c r="S155" s="132">
        <f t="shared" si="338"/>
        <v>0</v>
      </c>
      <c r="T155" s="130"/>
      <c r="U155" s="131">
        <v>0.22</v>
      </c>
      <c r="V155" s="238">
        <f t="shared" si="339"/>
        <v>0</v>
      </c>
      <c r="W155" s="248">
        <f t="shared" si="340"/>
        <v>0</v>
      </c>
      <c r="X155" s="249">
        <f t="shared" si="341"/>
        <v>0</v>
      </c>
      <c r="Y155" s="249">
        <f t="shared" si="342"/>
        <v>0</v>
      </c>
      <c r="Z155" s="561" t="e">
        <f t="shared" si="343"/>
        <v>#DIV/0!</v>
      </c>
      <c r="AA155" s="549"/>
      <c r="AB155" s="569"/>
      <c r="AC155" s="76"/>
      <c r="AD155" s="76"/>
      <c r="AE155" s="76"/>
      <c r="AF155" s="76"/>
      <c r="AG155" s="76"/>
    </row>
    <row r="156" spans="1:33" ht="30" customHeight="1" thickBot="1">
      <c r="A156" s="170" t="s">
        <v>166</v>
      </c>
      <c r="B156" s="256"/>
      <c r="C156" s="172"/>
      <c r="D156" s="173"/>
      <c r="E156" s="177">
        <f>SUM(E150:E154)</f>
        <v>300</v>
      </c>
      <c r="F156" s="189"/>
      <c r="G156" s="177">
        <f>SUM(G150:G155)</f>
        <v>81000</v>
      </c>
      <c r="H156" s="177">
        <f>SUM(H150:H154)</f>
        <v>300</v>
      </c>
      <c r="I156" s="189"/>
      <c r="J156" s="177">
        <f>SUM(J150:J155)</f>
        <v>81000</v>
      </c>
      <c r="K156" s="177">
        <f>SUM(K150:K154)</f>
        <v>0</v>
      </c>
      <c r="L156" s="189"/>
      <c r="M156" s="177">
        <f>SUM(M150:M155)</f>
        <v>0</v>
      </c>
      <c r="N156" s="177">
        <f>SUM(N150:N154)</f>
        <v>0</v>
      </c>
      <c r="O156" s="189"/>
      <c r="P156" s="177">
        <f>SUM(P150:P155)</f>
        <v>0</v>
      </c>
      <c r="Q156" s="177">
        <f>SUM(Q150:Q154)</f>
        <v>0</v>
      </c>
      <c r="R156" s="189"/>
      <c r="S156" s="177">
        <f>SUM(S150:S155)</f>
        <v>0</v>
      </c>
      <c r="T156" s="177">
        <f>SUM(T150:T154)</f>
        <v>0</v>
      </c>
      <c r="U156" s="189"/>
      <c r="V156" s="257">
        <f t="shared" ref="V156:X156" si="344">SUM(V150:V155)</f>
        <v>0</v>
      </c>
      <c r="W156" s="229">
        <f t="shared" si="344"/>
        <v>81000</v>
      </c>
      <c r="X156" s="230">
        <f t="shared" si="344"/>
        <v>81000</v>
      </c>
      <c r="Y156" s="230">
        <f t="shared" si="342"/>
        <v>0</v>
      </c>
      <c r="Z156" s="557">
        <f t="shared" si="343"/>
        <v>0</v>
      </c>
      <c r="AA156" s="577"/>
      <c r="AB156" s="569"/>
      <c r="AC156" s="76"/>
      <c r="AD156" s="76"/>
      <c r="AE156" s="76"/>
      <c r="AF156" s="76"/>
      <c r="AG156" s="76"/>
    </row>
    <row r="157" spans="1:33" ht="30" customHeight="1" thickBot="1">
      <c r="A157" s="180" t="s">
        <v>49</v>
      </c>
      <c r="B157" s="181">
        <v>9</v>
      </c>
      <c r="C157" s="182" t="s">
        <v>167</v>
      </c>
      <c r="D157" s="183"/>
      <c r="E157" s="103"/>
      <c r="F157" s="103"/>
      <c r="G157" s="103"/>
      <c r="H157" s="103"/>
      <c r="I157" s="103"/>
      <c r="J157" s="103"/>
      <c r="K157" s="103"/>
      <c r="L157" s="103"/>
      <c r="M157" s="103"/>
      <c r="N157" s="103"/>
      <c r="O157" s="103"/>
      <c r="P157" s="103"/>
      <c r="Q157" s="103"/>
      <c r="R157" s="103"/>
      <c r="S157" s="103"/>
      <c r="T157" s="103"/>
      <c r="U157" s="103"/>
      <c r="V157" s="103"/>
      <c r="W157" s="258"/>
      <c r="X157" s="258"/>
      <c r="Y157" s="217"/>
      <c r="Z157" s="258"/>
      <c r="AA157" s="578"/>
      <c r="AB157" s="569"/>
      <c r="AC157" s="76"/>
      <c r="AD157" s="76"/>
      <c r="AE157" s="76"/>
      <c r="AF157" s="76"/>
      <c r="AG157" s="76"/>
    </row>
    <row r="158" spans="1:33" s="335" customFormat="1" ht="30" customHeight="1" thickBot="1">
      <c r="A158" s="452" t="s">
        <v>51</v>
      </c>
      <c r="B158" s="453">
        <v>43839</v>
      </c>
      <c r="C158" s="454" t="s">
        <v>413</v>
      </c>
      <c r="D158" s="364" t="s">
        <v>168</v>
      </c>
      <c r="E158" s="455">
        <v>5</v>
      </c>
      <c r="F158" s="456">
        <v>6000</v>
      </c>
      <c r="G158" s="457">
        <f t="shared" ref="G158:G171" si="345">E158*F158</f>
        <v>30000</v>
      </c>
      <c r="H158" s="455">
        <v>5</v>
      </c>
      <c r="I158" s="456">
        <v>6126</v>
      </c>
      <c r="J158" s="457">
        <f t="shared" ref="J158:J171" si="346">H158*I158</f>
        <v>30630</v>
      </c>
      <c r="K158" s="458"/>
      <c r="L158" s="456"/>
      <c r="M158" s="457">
        <f t="shared" ref="M158:M171" si="347">K158*L158</f>
        <v>0</v>
      </c>
      <c r="N158" s="458"/>
      <c r="O158" s="456"/>
      <c r="P158" s="457">
        <f t="shared" ref="P158:P171" si="348">N158*O158</f>
        <v>0</v>
      </c>
      <c r="Q158" s="458"/>
      <c r="R158" s="456"/>
      <c r="S158" s="457">
        <f t="shared" ref="S158:S171" si="349">Q158*R158</f>
        <v>0</v>
      </c>
      <c r="T158" s="458"/>
      <c r="U158" s="456"/>
      <c r="V158" s="457">
        <f t="shared" ref="V158:V171" si="350">T158*U158</f>
        <v>0</v>
      </c>
      <c r="W158" s="371">
        <f t="shared" ref="W158:W171" si="351">G158+M158+S158</f>
        <v>30000</v>
      </c>
      <c r="X158" s="354">
        <f t="shared" ref="X158:X171" si="352">J158+P158+V158</f>
        <v>30630</v>
      </c>
      <c r="Y158" s="354">
        <f t="shared" ref="Y158:Y173" si="353">W158-X158</f>
        <v>-630</v>
      </c>
      <c r="Z158" s="553">
        <f t="shared" ref="Z158:Z173" si="354">Y158/W158</f>
        <v>-2.1000000000000001E-2</v>
      </c>
      <c r="AA158" s="547"/>
      <c r="AB158" s="571"/>
      <c r="AC158" s="334"/>
      <c r="AD158" s="334"/>
      <c r="AE158" s="334"/>
      <c r="AF158" s="334"/>
      <c r="AG158" s="334"/>
    </row>
    <row r="159" spans="1:33" s="335" customFormat="1" ht="60" customHeight="1">
      <c r="A159" s="361" t="s">
        <v>51</v>
      </c>
      <c r="B159" s="362">
        <v>43870</v>
      </c>
      <c r="C159" s="459" t="s">
        <v>169</v>
      </c>
      <c r="D159" s="381" t="s">
        <v>96</v>
      </c>
      <c r="E159" s="374">
        <v>2</v>
      </c>
      <c r="F159" s="375">
        <v>7000</v>
      </c>
      <c r="G159" s="376">
        <f t="shared" si="345"/>
        <v>14000</v>
      </c>
      <c r="H159" s="374">
        <v>2</v>
      </c>
      <c r="I159" s="375">
        <v>10000</v>
      </c>
      <c r="J159" s="457">
        <f t="shared" si="346"/>
        <v>20000</v>
      </c>
      <c r="K159" s="377"/>
      <c r="L159" s="375"/>
      <c r="M159" s="376">
        <f t="shared" si="347"/>
        <v>0</v>
      </c>
      <c r="N159" s="377"/>
      <c r="O159" s="375"/>
      <c r="P159" s="376">
        <f t="shared" si="348"/>
        <v>0</v>
      </c>
      <c r="Q159" s="377"/>
      <c r="R159" s="375"/>
      <c r="S159" s="376">
        <f t="shared" si="349"/>
        <v>0</v>
      </c>
      <c r="T159" s="377"/>
      <c r="U159" s="375"/>
      <c r="V159" s="376">
        <f t="shared" si="350"/>
        <v>0</v>
      </c>
      <c r="W159" s="392">
        <f t="shared" si="351"/>
        <v>14000</v>
      </c>
      <c r="X159" s="354">
        <f t="shared" si="352"/>
        <v>20000</v>
      </c>
      <c r="Y159" s="354">
        <f t="shared" si="353"/>
        <v>-6000</v>
      </c>
      <c r="Z159" s="553">
        <f t="shared" si="354"/>
        <v>-0.42857142857142855</v>
      </c>
      <c r="AA159" s="547" t="s">
        <v>957</v>
      </c>
      <c r="AB159" s="438"/>
      <c r="AC159" s="334"/>
      <c r="AD159" s="334"/>
      <c r="AE159" s="334"/>
      <c r="AF159" s="334"/>
      <c r="AG159" s="334"/>
    </row>
    <row r="160" spans="1:33" s="335" customFormat="1" ht="52.5" customHeight="1">
      <c r="A160" s="361" t="s">
        <v>51</v>
      </c>
      <c r="B160" s="362">
        <v>43899</v>
      </c>
      <c r="C160" s="459" t="s">
        <v>170</v>
      </c>
      <c r="D160" s="381" t="s">
        <v>96</v>
      </c>
      <c r="E160" s="374"/>
      <c r="F160" s="375"/>
      <c r="G160" s="376">
        <f t="shared" si="345"/>
        <v>0</v>
      </c>
      <c r="H160" s="374"/>
      <c r="I160" s="375"/>
      <c r="J160" s="376">
        <f t="shared" si="346"/>
        <v>0</v>
      </c>
      <c r="K160" s="377">
        <v>1</v>
      </c>
      <c r="L160" s="375">
        <v>7000</v>
      </c>
      <c r="M160" s="376">
        <f t="shared" si="347"/>
        <v>7000</v>
      </c>
      <c r="N160" s="377">
        <v>1</v>
      </c>
      <c r="O160" s="375">
        <v>8000</v>
      </c>
      <c r="P160" s="376">
        <f t="shared" si="348"/>
        <v>8000</v>
      </c>
      <c r="Q160" s="377"/>
      <c r="R160" s="375"/>
      <c r="S160" s="376">
        <f t="shared" si="349"/>
        <v>0</v>
      </c>
      <c r="T160" s="377"/>
      <c r="U160" s="375"/>
      <c r="V160" s="376">
        <f t="shared" si="350"/>
        <v>0</v>
      </c>
      <c r="W160" s="392">
        <f t="shared" si="351"/>
        <v>7000</v>
      </c>
      <c r="X160" s="354">
        <f t="shared" si="352"/>
        <v>8000</v>
      </c>
      <c r="Y160" s="354">
        <f t="shared" si="353"/>
        <v>-1000</v>
      </c>
      <c r="Z160" s="553">
        <f t="shared" si="354"/>
        <v>-0.14285714285714285</v>
      </c>
      <c r="AA160" s="547" t="s">
        <v>1061</v>
      </c>
      <c r="AB160" s="438"/>
      <c r="AC160" s="334"/>
      <c r="AD160" s="334"/>
      <c r="AE160" s="334"/>
      <c r="AF160" s="334"/>
      <c r="AG160" s="334"/>
    </row>
    <row r="161" spans="1:33" s="468" customFormat="1" ht="89.25" customHeight="1">
      <c r="A161" s="460" t="s">
        <v>51</v>
      </c>
      <c r="B161" s="461">
        <v>43930</v>
      </c>
      <c r="C161" s="462" t="s">
        <v>171</v>
      </c>
      <c r="D161" s="463" t="s">
        <v>96</v>
      </c>
      <c r="E161" s="464">
        <v>5</v>
      </c>
      <c r="F161" s="465">
        <v>7000</v>
      </c>
      <c r="G161" s="391">
        <f t="shared" si="345"/>
        <v>35000</v>
      </c>
      <c r="H161" s="464">
        <v>9</v>
      </c>
      <c r="I161" s="465">
        <v>8000</v>
      </c>
      <c r="J161" s="391">
        <f>H161*I161</f>
        <v>72000</v>
      </c>
      <c r="K161" s="466"/>
      <c r="L161" s="465"/>
      <c r="M161" s="391">
        <f t="shared" si="347"/>
        <v>0</v>
      </c>
      <c r="N161" s="466"/>
      <c r="O161" s="465"/>
      <c r="P161" s="391">
        <f t="shared" si="348"/>
        <v>0</v>
      </c>
      <c r="Q161" s="466"/>
      <c r="R161" s="465"/>
      <c r="S161" s="391">
        <f t="shared" si="349"/>
        <v>0</v>
      </c>
      <c r="T161" s="466"/>
      <c r="U161" s="465"/>
      <c r="V161" s="391">
        <f t="shared" si="350"/>
        <v>0</v>
      </c>
      <c r="W161" s="392">
        <f t="shared" si="351"/>
        <v>35000</v>
      </c>
      <c r="X161" s="354">
        <f t="shared" si="352"/>
        <v>72000</v>
      </c>
      <c r="Y161" s="354">
        <f>W161-X161</f>
        <v>-37000</v>
      </c>
      <c r="Z161" s="553">
        <f t="shared" si="354"/>
        <v>-1.0571428571428572</v>
      </c>
      <c r="AA161" s="579" t="s">
        <v>958</v>
      </c>
      <c r="AB161" s="572"/>
      <c r="AC161" s="467"/>
      <c r="AD161" s="467"/>
      <c r="AE161" s="467"/>
      <c r="AF161" s="467"/>
      <c r="AG161" s="467"/>
    </row>
    <row r="162" spans="1:33" s="335" customFormat="1" ht="94.5" customHeight="1">
      <c r="A162" s="393" t="s">
        <v>51</v>
      </c>
      <c r="B162" s="372">
        <v>43960</v>
      </c>
      <c r="C162" s="356" t="s">
        <v>172</v>
      </c>
      <c r="D162" s="469" t="s">
        <v>96</v>
      </c>
      <c r="E162" s="352">
        <v>1000</v>
      </c>
      <c r="F162" s="331">
        <v>7</v>
      </c>
      <c r="G162" s="332">
        <f t="shared" si="345"/>
        <v>7000</v>
      </c>
      <c r="H162" s="352">
        <v>1000</v>
      </c>
      <c r="I162" s="331">
        <v>32.299999999999997</v>
      </c>
      <c r="J162" s="332">
        <f t="shared" si="346"/>
        <v>32299.999999999996</v>
      </c>
      <c r="K162" s="330"/>
      <c r="L162" s="331"/>
      <c r="M162" s="332">
        <f t="shared" si="347"/>
        <v>0</v>
      </c>
      <c r="N162" s="330"/>
      <c r="O162" s="331"/>
      <c r="P162" s="332">
        <f t="shared" si="348"/>
        <v>0</v>
      </c>
      <c r="Q162" s="330"/>
      <c r="R162" s="331"/>
      <c r="S162" s="332">
        <f t="shared" si="349"/>
        <v>0</v>
      </c>
      <c r="T162" s="330"/>
      <c r="U162" s="331"/>
      <c r="V162" s="332">
        <f t="shared" si="350"/>
        <v>0</v>
      </c>
      <c r="W162" s="333">
        <f t="shared" si="351"/>
        <v>7000</v>
      </c>
      <c r="X162" s="354">
        <f t="shared" si="352"/>
        <v>32299.999999999996</v>
      </c>
      <c r="Y162" s="354">
        <f>W162-X162</f>
        <v>-25299.999999999996</v>
      </c>
      <c r="Z162" s="553">
        <f t="shared" si="354"/>
        <v>-3.6142857142857139</v>
      </c>
      <c r="AA162" s="547" t="s">
        <v>959</v>
      </c>
      <c r="AB162" s="438"/>
      <c r="AC162" s="334"/>
      <c r="AD162" s="334"/>
      <c r="AE162" s="334"/>
      <c r="AF162" s="334"/>
      <c r="AG162" s="334"/>
    </row>
    <row r="163" spans="1:33" ht="96" customHeight="1">
      <c r="A163" s="261" t="s">
        <v>51</v>
      </c>
      <c r="B163" s="260">
        <v>44356</v>
      </c>
      <c r="C163" s="202" t="s">
        <v>173</v>
      </c>
      <c r="D163" s="241" t="s">
        <v>96</v>
      </c>
      <c r="E163" s="149"/>
      <c r="F163" s="150"/>
      <c r="G163" s="132">
        <f t="shared" si="345"/>
        <v>0</v>
      </c>
      <c r="H163" s="150"/>
      <c r="I163" s="131"/>
      <c r="J163" s="132">
        <f t="shared" si="346"/>
        <v>0</v>
      </c>
      <c r="K163" s="330">
        <v>2</v>
      </c>
      <c r="L163" s="331">
        <v>6500</v>
      </c>
      <c r="M163" s="332">
        <f t="shared" si="347"/>
        <v>13000</v>
      </c>
      <c r="N163" s="330"/>
      <c r="O163" s="331"/>
      <c r="P163" s="332">
        <f t="shared" si="348"/>
        <v>0</v>
      </c>
      <c r="Q163" s="130"/>
      <c r="R163" s="131"/>
      <c r="S163" s="332">
        <f t="shared" si="349"/>
        <v>0</v>
      </c>
      <c r="T163" s="130"/>
      <c r="U163" s="131"/>
      <c r="V163" s="332">
        <f t="shared" si="350"/>
        <v>0</v>
      </c>
      <c r="W163" s="133">
        <f t="shared" si="351"/>
        <v>13000</v>
      </c>
      <c r="X163" s="122">
        <f t="shared" si="352"/>
        <v>0</v>
      </c>
      <c r="Y163" s="122">
        <f t="shared" si="353"/>
        <v>13000</v>
      </c>
      <c r="Z163" s="554">
        <f t="shared" si="354"/>
        <v>1</v>
      </c>
      <c r="AA163" s="556" t="s">
        <v>977</v>
      </c>
      <c r="AB163" s="567"/>
      <c r="AC163" s="125"/>
      <c r="AD163" s="125"/>
      <c r="AE163" s="125"/>
      <c r="AF163" s="125"/>
      <c r="AG163" s="125"/>
    </row>
    <row r="164" spans="1:33" ht="30" customHeight="1">
      <c r="A164" s="261" t="s">
        <v>51</v>
      </c>
      <c r="B164" s="259">
        <v>44386</v>
      </c>
      <c r="C164" s="262" t="s">
        <v>174</v>
      </c>
      <c r="D164" s="241" t="s">
        <v>168</v>
      </c>
      <c r="E164" s="149">
        <v>10</v>
      </c>
      <c r="F164" s="150">
        <v>5000</v>
      </c>
      <c r="G164" s="132">
        <f t="shared" si="345"/>
        <v>50000</v>
      </c>
      <c r="H164" s="150">
        <v>10</v>
      </c>
      <c r="I164" s="131">
        <v>5000.2</v>
      </c>
      <c r="J164" s="132">
        <f>H164*I164</f>
        <v>50002</v>
      </c>
      <c r="K164" s="330"/>
      <c r="L164" s="331"/>
      <c r="M164" s="332">
        <f t="shared" si="347"/>
        <v>0</v>
      </c>
      <c r="N164" s="330"/>
      <c r="O164" s="331"/>
      <c r="P164" s="332">
        <f t="shared" si="348"/>
        <v>0</v>
      </c>
      <c r="Q164" s="130"/>
      <c r="R164" s="131"/>
      <c r="S164" s="332">
        <f t="shared" si="349"/>
        <v>0</v>
      </c>
      <c r="T164" s="130"/>
      <c r="U164" s="131"/>
      <c r="V164" s="332">
        <f t="shared" si="350"/>
        <v>0</v>
      </c>
      <c r="W164" s="133">
        <f t="shared" si="351"/>
        <v>50000</v>
      </c>
      <c r="X164" s="122">
        <f t="shared" si="352"/>
        <v>50002</v>
      </c>
      <c r="Y164" s="122">
        <f t="shared" si="353"/>
        <v>-2</v>
      </c>
      <c r="Z164" s="554">
        <f t="shared" si="354"/>
        <v>-4.0000000000000003E-5</v>
      </c>
      <c r="AA164" s="549"/>
      <c r="AB164" s="567"/>
      <c r="AC164" s="125"/>
      <c r="AD164" s="125"/>
      <c r="AE164" s="125"/>
      <c r="AF164" s="125"/>
      <c r="AG164" s="125"/>
    </row>
    <row r="165" spans="1:33" s="335" customFormat="1" ht="143.25" customHeight="1">
      <c r="A165" s="347" t="s">
        <v>51</v>
      </c>
      <c r="B165" s="470">
        <v>44417</v>
      </c>
      <c r="C165" s="349" t="s">
        <v>418</v>
      </c>
      <c r="D165" s="350" t="s">
        <v>96</v>
      </c>
      <c r="E165" s="351">
        <v>1</v>
      </c>
      <c r="F165" s="352">
        <v>42000</v>
      </c>
      <c r="G165" s="332">
        <f>E165*F165</f>
        <v>42000</v>
      </c>
      <c r="H165" s="352">
        <v>1</v>
      </c>
      <c r="I165" s="331">
        <v>44365</v>
      </c>
      <c r="J165" s="332">
        <f t="shared" si="346"/>
        <v>44365</v>
      </c>
      <c r="K165" s="330"/>
      <c r="L165" s="331"/>
      <c r="M165" s="332">
        <f t="shared" si="347"/>
        <v>0</v>
      </c>
      <c r="N165" s="330"/>
      <c r="O165" s="331"/>
      <c r="P165" s="332">
        <f t="shared" si="348"/>
        <v>0</v>
      </c>
      <c r="Q165" s="330"/>
      <c r="R165" s="331"/>
      <c r="S165" s="332">
        <f t="shared" si="349"/>
        <v>0</v>
      </c>
      <c r="T165" s="330"/>
      <c r="U165" s="331"/>
      <c r="V165" s="332">
        <f t="shared" si="350"/>
        <v>0</v>
      </c>
      <c r="W165" s="333">
        <f t="shared" si="351"/>
        <v>42000</v>
      </c>
      <c r="X165" s="354">
        <f t="shared" si="352"/>
        <v>44365</v>
      </c>
      <c r="Y165" s="354">
        <f>W165-X165</f>
        <v>-2365</v>
      </c>
      <c r="Z165" s="553">
        <f t="shared" si="354"/>
        <v>-5.6309523809523809E-2</v>
      </c>
      <c r="AA165" s="547" t="s">
        <v>960</v>
      </c>
      <c r="AB165" s="438"/>
      <c r="AC165" s="334"/>
      <c r="AD165" s="334"/>
      <c r="AE165" s="334"/>
      <c r="AF165" s="334"/>
      <c r="AG165" s="334"/>
    </row>
    <row r="166" spans="1:33" ht="48.75" customHeight="1">
      <c r="A166" s="152" t="s">
        <v>51</v>
      </c>
      <c r="B166" s="263">
        <v>44448</v>
      </c>
      <c r="C166" s="202" t="s">
        <v>175</v>
      </c>
      <c r="D166" s="241" t="s">
        <v>96</v>
      </c>
      <c r="E166" s="149">
        <v>1</v>
      </c>
      <c r="F166" s="150">
        <v>58000</v>
      </c>
      <c r="G166" s="132">
        <f t="shared" si="345"/>
        <v>58000</v>
      </c>
      <c r="H166" s="150">
        <v>1</v>
      </c>
      <c r="I166" s="131">
        <v>58000</v>
      </c>
      <c r="J166" s="132">
        <f t="shared" si="346"/>
        <v>58000</v>
      </c>
      <c r="K166" s="130"/>
      <c r="L166" s="131"/>
      <c r="M166" s="132">
        <f t="shared" si="347"/>
        <v>0</v>
      </c>
      <c r="N166" s="130"/>
      <c r="O166" s="131"/>
      <c r="P166" s="132">
        <f t="shared" si="348"/>
        <v>0</v>
      </c>
      <c r="Q166" s="130"/>
      <c r="R166" s="131"/>
      <c r="S166" s="332">
        <f t="shared" si="349"/>
        <v>0</v>
      </c>
      <c r="T166" s="130"/>
      <c r="U166" s="131"/>
      <c r="V166" s="332">
        <f t="shared" si="350"/>
        <v>0</v>
      </c>
      <c r="W166" s="133">
        <f t="shared" si="351"/>
        <v>58000</v>
      </c>
      <c r="X166" s="122">
        <f t="shared" si="352"/>
        <v>58000</v>
      </c>
      <c r="Y166" s="122">
        <f t="shared" si="353"/>
        <v>0</v>
      </c>
      <c r="Z166" s="554">
        <f t="shared" si="354"/>
        <v>0</v>
      </c>
      <c r="AA166" s="549"/>
      <c r="AB166" s="567"/>
      <c r="AC166" s="125"/>
      <c r="AD166" s="125"/>
      <c r="AE166" s="125"/>
      <c r="AF166" s="125"/>
      <c r="AG166" s="125"/>
    </row>
    <row r="167" spans="1:33" ht="30" customHeight="1">
      <c r="A167" s="264" t="s">
        <v>51</v>
      </c>
      <c r="B167" s="265">
        <v>44478</v>
      </c>
      <c r="C167" s="202" t="s">
        <v>176</v>
      </c>
      <c r="D167" s="241" t="s">
        <v>96</v>
      </c>
      <c r="E167" s="149"/>
      <c r="F167" s="150"/>
      <c r="G167" s="132">
        <f t="shared" si="345"/>
        <v>0</v>
      </c>
      <c r="H167" s="150"/>
      <c r="I167" s="131"/>
      <c r="J167" s="132">
        <f t="shared" si="346"/>
        <v>0</v>
      </c>
      <c r="K167" s="130">
        <v>1</v>
      </c>
      <c r="L167" s="131">
        <v>18000</v>
      </c>
      <c r="M167" s="132">
        <f t="shared" si="347"/>
        <v>18000</v>
      </c>
      <c r="N167" s="130">
        <v>1</v>
      </c>
      <c r="O167" s="131">
        <v>18000</v>
      </c>
      <c r="P167" s="132">
        <f t="shared" si="348"/>
        <v>18000</v>
      </c>
      <c r="Q167" s="130"/>
      <c r="R167" s="131"/>
      <c r="S167" s="332">
        <f t="shared" si="349"/>
        <v>0</v>
      </c>
      <c r="T167" s="130"/>
      <c r="U167" s="131"/>
      <c r="V167" s="332">
        <f t="shared" si="350"/>
        <v>0</v>
      </c>
      <c r="W167" s="133">
        <f t="shared" si="351"/>
        <v>18000</v>
      </c>
      <c r="X167" s="122">
        <f t="shared" si="352"/>
        <v>18000</v>
      </c>
      <c r="Y167" s="122">
        <f t="shared" si="353"/>
        <v>0</v>
      </c>
      <c r="Z167" s="554">
        <f t="shared" si="354"/>
        <v>0</v>
      </c>
      <c r="AA167" s="549"/>
      <c r="AB167" s="567"/>
      <c r="AC167" s="125"/>
      <c r="AD167" s="125"/>
      <c r="AE167" s="125"/>
      <c r="AF167" s="125"/>
      <c r="AG167" s="125"/>
    </row>
    <row r="168" spans="1:33" s="335" customFormat="1" ht="30" customHeight="1">
      <c r="A168" s="347" t="s">
        <v>51</v>
      </c>
      <c r="B168" s="360">
        <v>44509</v>
      </c>
      <c r="C168" s="349" t="s">
        <v>177</v>
      </c>
      <c r="D168" s="350" t="s">
        <v>96</v>
      </c>
      <c r="E168" s="351"/>
      <c r="F168" s="352"/>
      <c r="G168" s="332">
        <f t="shared" si="345"/>
        <v>0</v>
      </c>
      <c r="H168" s="352"/>
      <c r="I168" s="331"/>
      <c r="J168" s="332">
        <f t="shared" si="346"/>
        <v>0</v>
      </c>
      <c r="K168" s="330">
        <v>1</v>
      </c>
      <c r="L168" s="331">
        <v>20000</v>
      </c>
      <c r="M168" s="332">
        <f t="shared" si="347"/>
        <v>20000</v>
      </c>
      <c r="N168" s="330">
        <v>1</v>
      </c>
      <c r="O168" s="331">
        <v>20000</v>
      </c>
      <c r="P168" s="332">
        <f t="shared" si="348"/>
        <v>20000</v>
      </c>
      <c r="Q168" s="330"/>
      <c r="R168" s="331"/>
      <c r="S168" s="332">
        <f t="shared" si="349"/>
        <v>0</v>
      </c>
      <c r="T168" s="330"/>
      <c r="U168" s="331"/>
      <c r="V168" s="332">
        <f t="shared" si="350"/>
        <v>0</v>
      </c>
      <c r="W168" s="333">
        <f t="shared" si="351"/>
        <v>20000</v>
      </c>
      <c r="X168" s="354">
        <f t="shared" si="352"/>
        <v>20000</v>
      </c>
      <c r="Y168" s="354">
        <f t="shared" si="353"/>
        <v>0</v>
      </c>
      <c r="Z168" s="553">
        <f t="shared" si="354"/>
        <v>0</v>
      </c>
      <c r="AA168" s="547"/>
      <c r="AB168" s="438"/>
      <c r="AC168" s="334"/>
      <c r="AD168" s="334"/>
      <c r="AE168" s="334"/>
      <c r="AF168" s="334"/>
      <c r="AG168" s="334"/>
    </row>
    <row r="169" spans="1:33" s="335" customFormat="1" ht="100.5" customHeight="1">
      <c r="A169" s="347" t="s">
        <v>51</v>
      </c>
      <c r="B169" s="348">
        <v>44539</v>
      </c>
      <c r="C169" s="349" t="s">
        <v>178</v>
      </c>
      <c r="D169" s="350" t="s">
        <v>96</v>
      </c>
      <c r="E169" s="351">
        <v>1</v>
      </c>
      <c r="F169" s="352">
        <v>24000</v>
      </c>
      <c r="G169" s="332">
        <f>E169*F169</f>
        <v>24000</v>
      </c>
      <c r="H169" s="352">
        <v>1</v>
      </c>
      <c r="I169" s="331">
        <v>39000</v>
      </c>
      <c r="J169" s="353">
        <f>H169*I169</f>
        <v>39000</v>
      </c>
      <c r="K169" s="330"/>
      <c r="L169" s="331"/>
      <c r="M169" s="332">
        <f t="shared" si="347"/>
        <v>0</v>
      </c>
      <c r="N169" s="330"/>
      <c r="O169" s="331"/>
      <c r="P169" s="332">
        <f t="shared" si="348"/>
        <v>0</v>
      </c>
      <c r="Q169" s="330"/>
      <c r="R169" s="331"/>
      <c r="S169" s="332">
        <f t="shared" si="349"/>
        <v>0</v>
      </c>
      <c r="T169" s="330"/>
      <c r="U169" s="331"/>
      <c r="V169" s="332">
        <f t="shared" si="350"/>
        <v>0</v>
      </c>
      <c r="W169" s="333">
        <f t="shared" si="351"/>
        <v>24000</v>
      </c>
      <c r="X169" s="354">
        <f t="shared" si="352"/>
        <v>39000</v>
      </c>
      <c r="Y169" s="354">
        <f>W169-X169</f>
        <v>-15000</v>
      </c>
      <c r="Z169" s="553">
        <f t="shared" si="354"/>
        <v>-0.625</v>
      </c>
      <c r="AA169" s="547" t="s">
        <v>961</v>
      </c>
      <c r="AB169" s="438"/>
      <c r="AC169" s="334"/>
      <c r="AD169" s="334"/>
      <c r="AE169" s="334"/>
      <c r="AF169" s="334"/>
      <c r="AG169" s="334"/>
    </row>
    <row r="170" spans="1:33" s="335" customFormat="1" ht="54.75" customHeight="1">
      <c r="A170" s="347" t="s">
        <v>51</v>
      </c>
      <c r="B170" s="355" t="s">
        <v>179</v>
      </c>
      <c r="C170" s="356" t="s">
        <v>180</v>
      </c>
      <c r="D170" s="357" t="s">
        <v>96</v>
      </c>
      <c r="E170" s="358">
        <v>1</v>
      </c>
      <c r="F170" s="352">
        <v>20000</v>
      </c>
      <c r="G170" s="332">
        <f t="shared" si="345"/>
        <v>20000</v>
      </c>
      <c r="H170" s="352">
        <v>1</v>
      </c>
      <c r="I170" s="331">
        <v>8000</v>
      </c>
      <c r="J170" s="332">
        <f>H170*I170</f>
        <v>8000</v>
      </c>
      <c r="K170" s="330"/>
      <c r="L170" s="331"/>
      <c r="M170" s="332">
        <f t="shared" si="347"/>
        <v>0</v>
      </c>
      <c r="N170" s="330"/>
      <c r="O170" s="331"/>
      <c r="P170" s="332">
        <f t="shared" si="348"/>
        <v>0</v>
      </c>
      <c r="Q170" s="330"/>
      <c r="R170" s="331"/>
      <c r="S170" s="332">
        <f t="shared" si="349"/>
        <v>0</v>
      </c>
      <c r="T170" s="330"/>
      <c r="U170" s="331"/>
      <c r="V170" s="332">
        <f t="shared" si="350"/>
        <v>0</v>
      </c>
      <c r="W170" s="333">
        <f t="shared" si="351"/>
        <v>20000</v>
      </c>
      <c r="X170" s="354">
        <f t="shared" si="352"/>
        <v>8000</v>
      </c>
      <c r="Y170" s="354">
        <f t="shared" si="353"/>
        <v>12000</v>
      </c>
      <c r="Z170" s="553">
        <f t="shared" si="354"/>
        <v>0.6</v>
      </c>
      <c r="AA170" s="550" t="s">
        <v>962</v>
      </c>
      <c r="AB170" s="438"/>
      <c r="AC170" s="334"/>
      <c r="AD170" s="334"/>
      <c r="AE170" s="334"/>
      <c r="AF170" s="334"/>
      <c r="AG170" s="334"/>
    </row>
    <row r="171" spans="1:33" ht="30" customHeight="1">
      <c r="A171" s="146" t="s">
        <v>51</v>
      </c>
      <c r="B171" s="153" t="s">
        <v>181</v>
      </c>
      <c r="C171" s="247" t="s">
        <v>182</v>
      </c>
      <c r="D171" s="148"/>
      <c r="E171" s="149"/>
      <c r="F171" s="149">
        <v>0.22</v>
      </c>
      <c r="G171" s="149">
        <f t="shared" si="345"/>
        <v>0</v>
      </c>
      <c r="H171" s="149"/>
      <c r="I171" s="149">
        <v>0.22</v>
      </c>
      <c r="J171" s="149">
        <f t="shared" si="346"/>
        <v>0</v>
      </c>
      <c r="K171" s="149"/>
      <c r="L171" s="149">
        <v>0.22</v>
      </c>
      <c r="M171" s="149">
        <f t="shared" si="347"/>
        <v>0</v>
      </c>
      <c r="N171" s="149"/>
      <c r="O171" s="149">
        <v>0.22</v>
      </c>
      <c r="P171" s="149">
        <f t="shared" si="348"/>
        <v>0</v>
      </c>
      <c r="Q171" s="149"/>
      <c r="R171" s="149">
        <v>0.22</v>
      </c>
      <c r="S171" s="149">
        <f t="shared" si="349"/>
        <v>0</v>
      </c>
      <c r="T171" s="149"/>
      <c r="U171" s="149">
        <v>0.22</v>
      </c>
      <c r="V171" s="149">
        <f t="shared" si="350"/>
        <v>0</v>
      </c>
      <c r="W171" s="154">
        <f t="shared" si="351"/>
        <v>0</v>
      </c>
      <c r="X171" s="154">
        <f t="shared" si="352"/>
        <v>0</v>
      </c>
      <c r="Y171" s="154">
        <f t="shared" si="353"/>
        <v>0</v>
      </c>
      <c r="Z171" s="563" t="e">
        <f t="shared" si="354"/>
        <v>#DIV/0!</v>
      </c>
      <c r="AA171" s="549"/>
      <c r="AB171" s="569"/>
      <c r="AC171" s="76"/>
      <c r="AD171" s="76"/>
      <c r="AE171" s="76"/>
      <c r="AF171" s="76"/>
      <c r="AG171" s="76"/>
    </row>
    <row r="172" spans="1:33" ht="30" customHeight="1" thickBot="1">
      <c r="A172" s="266"/>
      <c r="B172" s="267"/>
      <c r="C172" s="268"/>
      <c r="D172" s="269"/>
      <c r="E172" s="270"/>
      <c r="F172" s="243"/>
      <c r="G172" s="244"/>
      <c r="H172" s="270"/>
      <c r="I172" s="243"/>
      <c r="J172" s="244"/>
      <c r="K172" s="242"/>
      <c r="L172" s="243"/>
      <c r="M172" s="244"/>
      <c r="N172" s="242"/>
      <c r="O172" s="243"/>
      <c r="P172" s="244"/>
      <c r="Q172" s="242"/>
      <c r="R172" s="243"/>
      <c r="S172" s="244"/>
      <c r="T172" s="242"/>
      <c r="U172" s="243"/>
      <c r="V172" s="245"/>
      <c r="W172" s="271"/>
      <c r="X172" s="271"/>
      <c r="Y172" s="271"/>
      <c r="Z172" s="272"/>
      <c r="AA172" s="549"/>
      <c r="AB172" s="569"/>
      <c r="AC172" s="76"/>
      <c r="AD172" s="76"/>
      <c r="AE172" s="76"/>
      <c r="AF172" s="76"/>
      <c r="AG172" s="76"/>
    </row>
    <row r="173" spans="1:33" ht="30" customHeight="1" thickBot="1">
      <c r="A173" s="170" t="s">
        <v>661</v>
      </c>
      <c r="B173" s="171"/>
      <c r="C173" s="172"/>
      <c r="D173" s="173"/>
      <c r="E173" s="177">
        <f>SUM(E158:E162)</f>
        <v>1012</v>
      </c>
      <c r="F173" s="189"/>
      <c r="G173" s="176">
        <f>SUM(G158:G171)</f>
        <v>280000</v>
      </c>
      <c r="H173" s="177">
        <f>SUM(H158:H162)</f>
        <v>1016</v>
      </c>
      <c r="I173" s="189"/>
      <c r="J173" s="176">
        <f>SUM(J158:J171)</f>
        <v>354297</v>
      </c>
      <c r="K173" s="190">
        <f>SUM(K158:K162)</f>
        <v>1</v>
      </c>
      <c r="L173" s="189"/>
      <c r="M173" s="176">
        <f>SUM(M158:M171)</f>
        <v>58000</v>
      </c>
      <c r="N173" s="190">
        <f>SUM(N158:N162)</f>
        <v>1</v>
      </c>
      <c r="O173" s="189"/>
      <c r="P173" s="176">
        <f>SUM(P158:P171)</f>
        <v>46000</v>
      </c>
      <c r="Q173" s="190">
        <f>SUM(Q158:Q162)</f>
        <v>0</v>
      </c>
      <c r="R173" s="189"/>
      <c r="S173" s="176">
        <f>SUM(S158:S171)</f>
        <v>0</v>
      </c>
      <c r="T173" s="190">
        <f>SUM(T158:T162)</f>
        <v>0</v>
      </c>
      <c r="U173" s="189"/>
      <c r="V173" s="178">
        <f>SUM(V158:V171)</f>
        <v>0</v>
      </c>
      <c r="W173" s="229">
        <f>SUM(W158:W171)</f>
        <v>338000</v>
      </c>
      <c r="X173" s="229">
        <f>SUM(X158:X171)</f>
        <v>400297</v>
      </c>
      <c r="Y173" s="230">
        <f t="shared" si="353"/>
        <v>-62297</v>
      </c>
      <c r="Z173" s="557">
        <f t="shared" si="354"/>
        <v>-0.18431065088757395</v>
      </c>
      <c r="AA173" s="577"/>
      <c r="AB173" s="569"/>
      <c r="AC173" s="76"/>
      <c r="AD173" s="76"/>
      <c r="AE173" s="76"/>
      <c r="AF173" s="76"/>
      <c r="AG173" s="76"/>
    </row>
    <row r="174" spans="1:33" ht="30" customHeight="1" thickBot="1">
      <c r="A174" s="180" t="s">
        <v>49</v>
      </c>
      <c r="B174" s="215">
        <v>10</v>
      </c>
      <c r="C174" s="253" t="s">
        <v>183</v>
      </c>
      <c r="D174" s="183"/>
      <c r="E174" s="103"/>
      <c r="F174" s="103"/>
      <c r="G174" s="103"/>
      <c r="H174" s="103"/>
      <c r="I174" s="103"/>
      <c r="J174" s="103"/>
      <c r="K174" s="103"/>
      <c r="L174" s="103"/>
      <c r="M174" s="103"/>
      <c r="N174" s="103"/>
      <c r="O174" s="103"/>
      <c r="P174" s="103"/>
      <c r="Q174" s="103"/>
      <c r="R174" s="103"/>
      <c r="S174" s="103"/>
      <c r="T174" s="103"/>
      <c r="U174" s="103"/>
      <c r="V174" s="103"/>
      <c r="W174" s="231"/>
      <c r="X174" s="231"/>
      <c r="Y174" s="184"/>
      <c r="Z174" s="231"/>
      <c r="AA174" s="578"/>
      <c r="AB174" s="569"/>
      <c r="AC174" s="76"/>
      <c r="AD174" s="76"/>
      <c r="AE174" s="76"/>
      <c r="AF174" s="76"/>
      <c r="AG174" s="76"/>
    </row>
    <row r="175" spans="1:33" s="335" customFormat="1" ht="60.75" customHeight="1">
      <c r="A175" s="361" t="s">
        <v>51</v>
      </c>
      <c r="B175" s="362">
        <v>43840</v>
      </c>
      <c r="C175" s="363" t="s">
        <v>422</v>
      </c>
      <c r="D175" s="364" t="s">
        <v>73</v>
      </c>
      <c r="E175" s="365">
        <v>1</v>
      </c>
      <c r="F175" s="366">
        <v>32000</v>
      </c>
      <c r="G175" s="367">
        <f>E175*F175</f>
        <v>32000</v>
      </c>
      <c r="H175" s="365">
        <v>1</v>
      </c>
      <c r="I175" s="366">
        <v>40000</v>
      </c>
      <c r="J175" s="367">
        <f>H175*I175</f>
        <v>40000</v>
      </c>
      <c r="K175" s="368"/>
      <c r="L175" s="366"/>
      <c r="M175" s="367">
        <f t="shared" ref="M175:M179" si="355">K175*L175</f>
        <v>0</v>
      </c>
      <c r="N175" s="368"/>
      <c r="O175" s="366"/>
      <c r="P175" s="367">
        <f t="shared" ref="P175:P179" si="356">N175*O175</f>
        <v>0</v>
      </c>
      <c r="Q175" s="368"/>
      <c r="R175" s="366"/>
      <c r="S175" s="367">
        <f t="shared" ref="S175:S179" si="357">Q175*R175</f>
        <v>0</v>
      </c>
      <c r="T175" s="368"/>
      <c r="U175" s="366"/>
      <c r="V175" s="369">
        <f t="shared" ref="V175:V179" si="358">T175*U175</f>
        <v>0</v>
      </c>
      <c r="W175" s="370">
        <f t="shared" ref="W175:W179" si="359">G175+M175+S175</f>
        <v>32000</v>
      </c>
      <c r="X175" s="371">
        <f t="shared" ref="X175:X179" si="360">J175+P175+V175</f>
        <v>40000</v>
      </c>
      <c r="Y175" s="371">
        <f t="shared" ref="Y175:Y179" si="361">W175-X175</f>
        <v>-8000</v>
      </c>
      <c r="Z175" s="558">
        <f t="shared" ref="Z175:Z180" si="362">Y175/W175</f>
        <v>-0.25</v>
      </c>
      <c r="AA175" s="547" t="s">
        <v>963</v>
      </c>
      <c r="AB175" s="438"/>
      <c r="AC175" s="334"/>
      <c r="AD175" s="334"/>
      <c r="AE175" s="334"/>
      <c r="AF175" s="334"/>
      <c r="AG175" s="334"/>
    </row>
    <row r="176" spans="1:33" s="335" customFormat="1" ht="30" customHeight="1">
      <c r="A176" s="361" t="s">
        <v>51</v>
      </c>
      <c r="B176" s="372">
        <v>43871</v>
      </c>
      <c r="C176" s="349" t="s">
        <v>184</v>
      </c>
      <c r="D176" s="373" t="s">
        <v>73</v>
      </c>
      <c r="E176" s="374">
        <v>1</v>
      </c>
      <c r="F176" s="375">
        <v>12000</v>
      </c>
      <c r="G176" s="376">
        <f t="shared" ref="G176:G179" si="363">E176*F176</f>
        <v>12000</v>
      </c>
      <c r="H176" s="374">
        <v>1</v>
      </c>
      <c r="I176" s="375">
        <v>12630</v>
      </c>
      <c r="J176" s="376">
        <f t="shared" ref="J176:J179" si="364">H176*I176</f>
        <v>12630</v>
      </c>
      <c r="K176" s="377"/>
      <c r="L176" s="375"/>
      <c r="M176" s="376">
        <f t="shared" si="355"/>
        <v>0</v>
      </c>
      <c r="N176" s="377"/>
      <c r="O176" s="375"/>
      <c r="P176" s="376">
        <f t="shared" si="356"/>
        <v>0</v>
      </c>
      <c r="Q176" s="377"/>
      <c r="R176" s="375"/>
      <c r="S176" s="376">
        <f t="shared" si="357"/>
        <v>0</v>
      </c>
      <c r="T176" s="377"/>
      <c r="U176" s="375"/>
      <c r="V176" s="378">
        <f t="shared" si="358"/>
        <v>0</v>
      </c>
      <c r="W176" s="379">
        <f t="shared" si="359"/>
        <v>12000</v>
      </c>
      <c r="X176" s="354">
        <f t="shared" si="360"/>
        <v>12630</v>
      </c>
      <c r="Y176" s="354">
        <f>W176-X176</f>
        <v>-630</v>
      </c>
      <c r="Z176" s="553">
        <f t="shared" si="362"/>
        <v>-5.2499999999999998E-2</v>
      </c>
      <c r="AA176" s="547"/>
      <c r="AB176" s="438"/>
      <c r="AC176" s="334"/>
      <c r="AD176" s="334"/>
      <c r="AE176" s="334"/>
      <c r="AF176" s="334"/>
      <c r="AG176" s="334"/>
    </row>
    <row r="177" spans="1:33" s="335" customFormat="1" ht="39" customHeight="1">
      <c r="A177" s="361" t="s">
        <v>51</v>
      </c>
      <c r="B177" s="362">
        <v>43900</v>
      </c>
      <c r="C177" s="380" t="s">
        <v>185</v>
      </c>
      <c r="D177" s="381" t="s">
        <v>73</v>
      </c>
      <c r="E177" s="374"/>
      <c r="F177" s="375"/>
      <c r="G177" s="376">
        <f t="shared" si="363"/>
        <v>0</v>
      </c>
      <c r="H177" s="374"/>
      <c r="I177" s="375"/>
      <c r="J177" s="376">
        <f t="shared" si="364"/>
        <v>0</v>
      </c>
      <c r="K177" s="377">
        <v>1</v>
      </c>
      <c r="L177" s="375">
        <v>25000</v>
      </c>
      <c r="M177" s="376">
        <f t="shared" si="355"/>
        <v>25000</v>
      </c>
      <c r="N177" s="377">
        <v>1</v>
      </c>
      <c r="O177" s="375">
        <v>25000</v>
      </c>
      <c r="P177" s="376">
        <f t="shared" si="356"/>
        <v>25000</v>
      </c>
      <c r="Q177" s="377"/>
      <c r="R177" s="375"/>
      <c r="S177" s="376">
        <f t="shared" si="357"/>
        <v>0</v>
      </c>
      <c r="T177" s="377"/>
      <c r="U177" s="375"/>
      <c r="V177" s="378">
        <f t="shared" si="358"/>
        <v>0</v>
      </c>
      <c r="W177" s="379">
        <f t="shared" si="359"/>
        <v>25000</v>
      </c>
      <c r="X177" s="354">
        <f t="shared" si="360"/>
        <v>25000</v>
      </c>
      <c r="Y177" s="354">
        <f t="shared" si="361"/>
        <v>0</v>
      </c>
      <c r="Z177" s="553">
        <f t="shared" si="362"/>
        <v>0</v>
      </c>
      <c r="AA177" s="547"/>
      <c r="AB177" s="438"/>
      <c r="AC177" s="334"/>
      <c r="AD177" s="334"/>
      <c r="AE177" s="334"/>
      <c r="AF177" s="334"/>
      <c r="AG177" s="334"/>
    </row>
    <row r="178" spans="1:33" ht="33" customHeight="1">
      <c r="A178" s="127" t="s">
        <v>51</v>
      </c>
      <c r="B178" s="274">
        <v>43931</v>
      </c>
      <c r="C178" s="167" t="s">
        <v>662</v>
      </c>
      <c r="D178" s="275" t="s">
        <v>53</v>
      </c>
      <c r="E178" s="150"/>
      <c r="F178" s="131"/>
      <c r="G178" s="120">
        <f t="shared" si="363"/>
        <v>0</v>
      </c>
      <c r="H178" s="150"/>
      <c r="I178" s="131"/>
      <c r="J178" s="120">
        <f t="shared" si="364"/>
        <v>0</v>
      </c>
      <c r="K178" s="130"/>
      <c r="L178" s="131"/>
      <c r="M178" s="132">
        <f t="shared" si="355"/>
        <v>0</v>
      </c>
      <c r="N178" s="130"/>
      <c r="O178" s="131"/>
      <c r="P178" s="132">
        <f t="shared" si="356"/>
        <v>0</v>
      </c>
      <c r="Q178" s="130"/>
      <c r="R178" s="131"/>
      <c r="S178" s="132">
        <f t="shared" si="357"/>
        <v>0</v>
      </c>
      <c r="T178" s="130"/>
      <c r="U178" s="131"/>
      <c r="V178" s="238">
        <f t="shared" si="358"/>
        <v>0</v>
      </c>
      <c r="W178" s="276">
        <f t="shared" si="359"/>
        <v>0</v>
      </c>
      <c r="X178" s="122">
        <f t="shared" si="360"/>
        <v>0</v>
      </c>
      <c r="Y178" s="122">
        <f t="shared" si="361"/>
        <v>0</v>
      </c>
      <c r="Z178" s="554" t="e">
        <f t="shared" si="362"/>
        <v>#DIV/0!</v>
      </c>
      <c r="AA178" s="549"/>
      <c r="AB178" s="567"/>
      <c r="AC178" s="125"/>
      <c r="AD178" s="125"/>
      <c r="AE178" s="125"/>
      <c r="AF178" s="125"/>
      <c r="AG178" s="125"/>
    </row>
    <row r="179" spans="1:33" ht="48.75" customHeight="1" thickBot="1">
      <c r="A179" s="127" t="s">
        <v>51</v>
      </c>
      <c r="B179" s="277">
        <v>43961</v>
      </c>
      <c r="C179" s="359" t="s">
        <v>186</v>
      </c>
      <c r="D179" s="279"/>
      <c r="E179" s="130"/>
      <c r="F179" s="131">
        <v>0.22</v>
      </c>
      <c r="G179" s="132">
        <f t="shared" si="363"/>
        <v>0</v>
      </c>
      <c r="H179" s="130"/>
      <c r="I179" s="131">
        <v>0.22</v>
      </c>
      <c r="J179" s="132">
        <f t="shared" si="364"/>
        <v>0</v>
      </c>
      <c r="K179" s="130"/>
      <c r="L179" s="131">
        <v>0.22</v>
      </c>
      <c r="M179" s="132">
        <f t="shared" si="355"/>
        <v>0</v>
      </c>
      <c r="N179" s="130"/>
      <c r="O179" s="131">
        <v>0.22</v>
      </c>
      <c r="P179" s="132">
        <f t="shared" si="356"/>
        <v>0</v>
      </c>
      <c r="Q179" s="130"/>
      <c r="R179" s="131">
        <v>0.22</v>
      </c>
      <c r="S179" s="132">
        <f t="shared" si="357"/>
        <v>0</v>
      </c>
      <c r="T179" s="130"/>
      <c r="U179" s="131">
        <v>0.22</v>
      </c>
      <c r="V179" s="238">
        <f t="shared" si="358"/>
        <v>0</v>
      </c>
      <c r="W179" s="248">
        <f t="shared" si="359"/>
        <v>0</v>
      </c>
      <c r="X179" s="249">
        <f t="shared" si="360"/>
        <v>0</v>
      </c>
      <c r="Y179" s="249">
        <f t="shared" si="361"/>
        <v>0</v>
      </c>
      <c r="Z179" s="561" t="e">
        <f t="shared" si="362"/>
        <v>#DIV/0!</v>
      </c>
      <c r="AA179" s="549"/>
      <c r="AB179" s="569"/>
      <c r="AC179" s="76"/>
      <c r="AD179" s="76"/>
      <c r="AE179" s="76"/>
      <c r="AF179" s="76"/>
      <c r="AG179" s="76"/>
    </row>
    <row r="180" spans="1:33" ht="30" customHeight="1" thickBot="1">
      <c r="A180" s="170" t="s">
        <v>187</v>
      </c>
      <c r="B180" s="171"/>
      <c r="C180" s="172"/>
      <c r="D180" s="173"/>
      <c r="E180" s="177">
        <f>SUM(E175:E178)</f>
        <v>2</v>
      </c>
      <c r="F180" s="189"/>
      <c r="G180" s="176">
        <f>SUM(G175:G179)</f>
        <v>44000</v>
      </c>
      <c r="H180" s="177">
        <f>SUM(H175:H178)</f>
        <v>2</v>
      </c>
      <c r="I180" s="189"/>
      <c r="J180" s="176">
        <f>SUM(J175:J179)</f>
        <v>52630</v>
      </c>
      <c r="K180" s="190">
        <f>SUM(K175:K178)</f>
        <v>1</v>
      </c>
      <c r="L180" s="189"/>
      <c r="M180" s="176">
        <f>SUM(M175:M179)</f>
        <v>25000</v>
      </c>
      <c r="N180" s="190">
        <f>SUM(N175:N178)</f>
        <v>1</v>
      </c>
      <c r="O180" s="189"/>
      <c r="P180" s="176">
        <f>SUM(P175:P179)</f>
        <v>25000</v>
      </c>
      <c r="Q180" s="190">
        <f>SUM(Q175:Q178)</f>
        <v>0</v>
      </c>
      <c r="R180" s="189"/>
      <c r="S180" s="176">
        <f>SUM(S175:S179)</f>
        <v>0</v>
      </c>
      <c r="T180" s="190">
        <f>SUM(T175:T178)</f>
        <v>0</v>
      </c>
      <c r="U180" s="189"/>
      <c r="V180" s="178">
        <f t="shared" ref="V180" si="365">SUM(V175:V179)</f>
        <v>0</v>
      </c>
      <c r="W180" s="229">
        <f>SUM(W175:W179)</f>
        <v>69000</v>
      </c>
      <c r="X180" s="229">
        <f t="shared" ref="X180:Y180" si="366">SUM(X175:X179)</f>
        <v>77630</v>
      </c>
      <c r="Y180" s="229">
        <f t="shared" si="366"/>
        <v>-8630</v>
      </c>
      <c r="Z180" s="557">
        <f t="shared" si="362"/>
        <v>-0.12507246376811595</v>
      </c>
      <c r="AA180" s="577"/>
      <c r="AB180" s="569"/>
      <c r="AC180" s="76"/>
      <c r="AD180" s="76"/>
      <c r="AE180" s="76"/>
      <c r="AF180" s="76"/>
      <c r="AG180" s="76"/>
    </row>
    <row r="181" spans="1:33" ht="30" customHeight="1" thickBot="1">
      <c r="A181" s="180" t="s">
        <v>49</v>
      </c>
      <c r="B181" s="215">
        <v>11</v>
      </c>
      <c r="C181" s="182" t="s">
        <v>188</v>
      </c>
      <c r="D181" s="183"/>
      <c r="E181" s="103"/>
      <c r="F181" s="103"/>
      <c r="G181" s="103"/>
      <c r="H181" s="103"/>
      <c r="I181" s="103"/>
      <c r="J181" s="103"/>
      <c r="K181" s="103"/>
      <c r="L181" s="103"/>
      <c r="M181" s="103"/>
      <c r="N181" s="103"/>
      <c r="O181" s="103"/>
      <c r="P181" s="103"/>
      <c r="Q181" s="103"/>
      <c r="R181" s="103"/>
      <c r="S181" s="103"/>
      <c r="T181" s="103"/>
      <c r="U181" s="103"/>
      <c r="V181" s="103"/>
      <c r="W181" s="231"/>
      <c r="X181" s="231"/>
      <c r="Y181" s="184"/>
      <c r="Z181" s="231"/>
      <c r="AA181" s="578"/>
      <c r="AB181" s="569"/>
      <c r="AC181" s="76"/>
      <c r="AD181" s="76"/>
      <c r="AE181" s="76"/>
      <c r="AF181" s="76"/>
      <c r="AG181" s="76"/>
    </row>
    <row r="182" spans="1:33" ht="30" customHeight="1">
      <c r="A182" s="280" t="s">
        <v>51</v>
      </c>
      <c r="B182" s="259">
        <v>43841</v>
      </c>
      <c r="C182" s="281" t="s">
        <v>663</v>
      </c>
      <c r="D182" s="162" t="s">
        <v>73</v>
      </c>
      <c r="E182" s="163"/>
      <c r="F182" s="164"/>
      <c r="G182" s="165">
        <f t="shared" ref="G182:G183" si="367">E182*F182</f>
        <v>0</v>
      </c>
      <c r="H182" s="163"/>
      <c r="I182" s="164"/>
      <c r="J182" s="165">
        <f t="shared" ref="J182:J183" si="368">H182*I182</f>
        <v>0</v>
      </c>
      <c r="K182" s="163"/>
      <c r="L182" s="164"/>
      <c r="M182" s="165">
        <f t="shared" ref="M182:M183" si="369">K182*L182</f>
        <v>0</v>
      </c>
      <c r="N182" s="163"/>
      <c r="O182" s="164"/>
      <c r="P182" s="165">
        <f t="shared" ref="P182:P183" si="370">N182*O182</f>
        <v>0</v>
      </c>
      <c r="Q182" s="163"/>
      <c r="R182" s="164"/>
      <c r="S182" s="165">
        <f t="shared" ref="S182:S183" si="371">Q182*R182</f>
        <v>0</v>
      </c>
      <c r="T182" s="163"/>
      <c r="U182" s="164"/>
      <c r="V182" s="240">
        <f t="shared" ref="V182:V183" si="372">T182*U182</f>
        <v>0</v>
      </c>
      <c r="W182" s="273">
        <f t="shared" ref="W182:W183" si="373">G182+M182+S182</f>
        <v>0</v>
      </c>
      <c r="X182" s="234">
        <f t="shared" ref="X182:X183" si="374">J182+P182+V182</f>
        <v>0</v>
      </c>
      <c r="Y182" s="234">
        <f t="shared" ref="Y182:Y184" si="375">W182-X182</f>
        <v>0</v>
      </c>
      <c r="Z182" s="562" t="e">
        <f t="shared" ref="Z182:Z184" si="376">Y182/W182</f>
        <v>#DIV/0!</v>
      </c>
      <c r="AA182" s="549"/>
      <c r="AB182" s="567"/>
      <c r="AC182" s="125"/>
      <c r="AD182" s="125"/>
      <c r="AE182" s="125"/>
      <c r="AF182" s="125"/>
      <c r="AG182" s="125"/>
    </row>
    <row r="183" spans="1:33" ht="30" customHeight="1" thickBot="1">
      <c r="A183" s="282" t="s">
        <v>51</v>
      </c>
      <c r="B183" s="259">
        <v>43872</v>
      </c>
      <c r="C183" s="167" t="s">
        <v>663</v>
      </c>
      <c r="D183" s="129" t="s">
        <v>73</v>
      </c>
      <c r="E183" s="130"/>
      <c r="F183" s="131"/>
      <c r="G183" s="120">
        <f t="shared" si="367"/>
        <v>0</v>
      </c>
      <c r="H183" s="130"/>
      <c r="I183" s="131"/>
      <c r="J183" s="120">
        <f t="shared" si="368"/>
        <v>0</v>
      </c>
      <c r="K183" s="130"/>
      <c r="L183" s="131"/>
      <c r="M183" s="132">
        <f t="shared" si="369"/>
        <v>0</v>
      </c>
      <c r="N183" s="130"/>
      <c r="O183" s="131"/>
      <c r="P183" s="132">
        <f t="shared" si="370"/>
        <v>0</v>
      </c>
      <c r="Q183" s="130"/>
      <c r="R183" s="131"/>
      <c r="S183" s="132">
        <f t="shared" si="371"/>
        <v>0</v>
      </c>
      <c r="T183" s="130"/>
      <c r="U183" s="131"/>
      <c r="V183" s="238">
        <f t="shared" si="372"/>
        <v>0</v>
      </c>
      <c r="W183" s="283">
        <f t="shared" si="373"/>
        <v>0</v>
      </c>
      <c r="X183" s="249">
        <f t="shared" si="374"/>
        <v>0</v>
      </c>
      <c r="Y183" s="249">
        <f t="shared" si="375"/>
        <v>0</v>
      </c>
      <c r="Z183" s="561" t="e">
        <f t="shared" si="376"/>
        <v>#DIV/0!</v>
      </c>
      <c r="AA183" s="549"/>
      <c r="AB183" s="573"/>
      <c r="AC183" s="125"/>
      <c r="AD183" s="125"/>
      <c r="AE183" s="125"/>
      <c r="AF183" s="125"/>
      <c r="AG183" s="125"/>
    </row>
    <row r="184" spans="1:33" ht="44.25" customHeight="1" thickBot="1">
      <c r="A184" s="806" t="s">
        <v>189</v>
      </c>
      <c r="B184" s="807"/>
      <c r="C184" s="807"/>
      <c r="D184" s="808"/>
      <c r="E184" s="177">
        <f>SUM(E182:E183)</f>
        <v>0</v>
      </c>
      <c r="F184" s="189"/>
      <c r="G184" s="176">
        <f t="shared" ref="G184:H184" si="377">SUM(G182:G183)</f>
        <v>0</v>
      </c>
      <c r="H184" s="177">
        <f t="shared" si="377"/>
        <v>0</v>
      </c>
      <c r="I184" s="189"/>
      <c r="J184" s="176">
        <f t="shared" ref="J184:K184" si="378">SUM(J182:J183)</f>
        <v>0</v>
      </c>
      <c r="K184" s="190">
        <f t="shared" si="378"/>
        <v>0</v>
      </c>
      <c r="L184" s="189"/>
      <c r="M184" s="176">
        <f t="shared" ref="M184:N184" si="379">SUM(M182:M183)</f>
        <v>0</v>
      </c>
      <c r="N184" s="190">
        <f t="shared" si="379"/>
        <v>0</v>
      </c>
      <c r="O184" s="189"/>
      <c r="P184" s="176">
        <f t="shared" ref="P184:Q184" si="380">SUM(P182:P183)</f>
        <v>0</v>
      </c>
      <c r="Q184" s="190">
        <f t="shared" si="380"/>
        <v>0</v>
      </c>
      <c r="R184" s="189"/>
      <c r="S184" s="176">
        <f t="shared" ref="S184:T184" si="381">SUM(S182:S183)</f>
        <v>0</v>
      </c>
      <c r="T184" s="190">
        <f t="shared" si="381"/>
        <v>0</v>
      </c>
      <c r="U184" s="189"/>
      <c r="V184" s="178">
        <f t="shared" ref="V184:X184" si="382">SUM(V182:V183)</f>
        <v>0</v>
      </c>
      <c r="W184" s="229">
        <f t="shared" si="382"/>
        <v>0</v>
      </c>
      <c r="X184" s="230">
        <f t="shared" si="382"/>
        <v>0</v>
      </c>
      <c r="Y184" s="230">
        <f t="shared" si="375"/>
        <v>0</v>
      </c>
      <c r="Z184" s="557" t="e">
        <f t="shared" si="376"/>
        <v>#DIV/0!</v>
      </c>
      <c r="AA184" s="577"/>
      <c r="AB184" s="569"/>
      <c r="AC184" s="76"/>
      <c r="AD184" s="76"/>
      <c r="AE184" s="76"/>
      <c r="AF184" s="76"/>
      <c r="AG184" s="76"/>
    </row>
    <row r="185" spans="1:33" ht="30" customHeight="1" thickBot="1">
      <c r="A185" s="214" t="s">
        <v>49</v>
      </c>
      <c r="B185" s="215">
        <v>12</v>
      </c>
      <c r="C185" s="216" t="s">
        <v>190</v>
      </c>
      <c r="D185" s="284"/>
      <c r="E185" s="103"/>
      <c r="F185" s="103"/>
      <c r="G185" s="103"/>
      <c r="H185" s="103"/>
      <c r="I185" s="103"/>
      <c r="J185" s="103"/>
      <c r="K185" s="103"/>
      <c r="L185" s="103"/>
      <c r="M185" s="103"/>
      <c r="N185" s="103"/>
      <c r="O185" s="103"/>
      <c r="P185" s="103"/>
      <c r="Q185" s="103"/>
      <c r="R185" s="103"/>
      <c r="S185" s="103"/>
      <c r="T185" s="103"/>
      <c r="U185" s="103"/>
      <c r="V185" s="103"/>
      <c r="W185" s="231"/>
      <c r="X185" s="231"/>
      <c r="Y185" s="184"/>
      <c r="Z185" s="231"/>
      <c r="AA185" s="578"/>
      <c r="AB185" s="569"/>
      <c r="AC185" s="76"/>
      <c r="AD185" s="76"/>
      <c r="AE185" s="76"/>
      <c r="AF185" s="76"/>
      <c r="AG185" s="76"/>
    </row>
    <row r="186" spans="1:33" s="335" customFormat="1" ht="73.5" customHeight="1">
      <c r="A186" s="382" t="s">
        <v>51</v>
      </c>
      <c r="B186" s="383">
        <v>43842</v>
      </c>
      <c r="C186" s="380" t="s">
        <v>423</v>
      </c>
      <c r="D186" s="384" t="s">
        <v>191</v>
      </c>
      <c r="E186" s="365">
        <v>27</v>
      </c>
      <c r="F186" s="366">
        <v>900</v>
      </c>
      <c r="G186" s="367">
        <f>E186*F186</f>
        <v>24300</v>
      </c>
      <c r="H186" s="365">
        <v>12</v>
      </c>
      <c r="I186" s="366">
        <v>900</v>
      </c>
      <c r="J186" s="367">
        <f t="shared" ref="J186:J189" si="383">H186*I186</f>
        <v>10800</v>
      </c>
      <c r="K186" s="368"/>
      <c r="L186" s="366"/>
      <c r="M186" s="367">
        <f t="shared" ref="M186:M189" si="384">K186*L186</f>
        <v>0</v>
      </c>
      <c r="N186" s="368"/>
      <c r="O186" s="366"/>
      <c r="P186" s="367">
        <f t="shared" ref="P186:P189" si="385">N186*O186</f>
        <v>0</v>
      </c>
      <c r="Q186" s="368"/>
      <c r="R186" s="366"/>
      <c r="S186" s="367">
        <f t="shared" ref="S186:S189" si="386">Q186*R186</f>
        <v>0</v>
      </c>
      <c r="T186" s="368"/>
      <c r="U186" s="366"/>
      <c r="V186" s="369">
        <f t="shared" ref="V186:V189" si="387">T186*U186</f>
        <v>0</v>
      </c>
      <c r="W186" s="370">
        <f t="shared" ref="W186:W189" si="388">G186+M186+S186</f>
        <v>24300</v>
      </c>
      <c r="X186" s="371">
        <f t="shared" ref="X186:X189" si="389">J186+P186+V186</f>
        <v>10800</v>
      </c>
      <c r="Y186" s="371">
        <f t="shared" ref="Y186:Y189" si="390">W186-X186</f>
        <v>13500</v>
      </c>
      <c r="Z186" s="558">
        <f t="shared" ref="Z186:Z190" si="391">Y186/W186</f>
        <v>0.55555555555555558</v>
      </c>
      <c r="AA186" s="547" t="s">
        <v>964</v>
      </c>
      <c r="AB186" s="571"/>
      <c r="AC186" s="334"/>
      <c r="AD186" s="334"/>
      <c r="AE186" s="334"/>
      <c r="AF186" s="334"/>
      <c r="AG186" s="334"/>
    </row>
    <row r="187" spans="1:33" s="335" customFormat="1" ht="52.5" customHeight="1">
      <c r="A187" s="361" t="s">
        <v>51</v>
      </c>
      <c r="B187" s="372">
        <v>43873</v>
      </c>
      <c r="C187" s="356" t="s">
        <v>192</v>
      </c>
      <c r="D187" s="471" t="s">
        <v>161</v>
      </c>
      <c r="E187" s="374">
        <v>350</v>
      </c>
      <c r="F187" s="375">
        <v>120</v>
      </c>
      <c r="G187" s="376">
        <f t="shared" ref="G187:G189" si="392">E187*F187</f>
        <v>42000</v>
      </c>
      <c r="H187" s="374">
        <v>240</v>
      </c>
      <c r="I187" s="375">
        <v>122</v>
      </c>
      <c r="J187" s="376">
        <f t="shared" si="383"/>
        <v>29280</v>
      </c>
      <c r="K187" s="377"/>
      <c r="L187" s="375"/>
      <c r="M187" s="376">
        <f t="shared" si="384"/>
        <v>0</v>
      </c>
      <c r="N187" s="377"/>
      <c r="O187" s="375"/>
      <c r="P187" s="376">
        <f t="shared" si="385"/>
        <v>0</v>
      </c>
      <c r="Q187" s="377"/>
      <c r="R187" s="375"/>
      <c r="S187" s="376">
        <f t="shared" si="386"/>
        <v>0</v>
      </c>
      <c r="T187" s="377"/>
      <c r="U187" s="375"/>
      <c r="V187" s="378">
        <f t="shared" si="387"/>
        <v>0</v>
      </c>
      <c r="W187" s="472">
        <f t="shared" si="388"/>
        <v>42000</v>
      </c>
      <c r="X187" s="354">
        <f t="shared" si="389"/>
        <v>29280</v>
      </c>
      <c r="Y187" s="354">
        <f t="shared" si="390"/>
        <v>12720</v>
      </c>
      <c r="Z187" s="553">
        <f t="shared" si="391"/>
        <v>0.30285714285714288</v>
      </c>
      <c r="AA187" s="547" t="s">
        <v>965</v>
      </c>
      <c r="AB187" s="438"/>
      <c r="AC187" s="334"/>
      <c r="AD187" s="334"/>
      <c r="AE187" s="334"/>
      <c r="AF187" s="334"/>
      <c r="AG187" s="334"/>
    </row>
    <row r="188" spans="1:33" ht="30" customHeight="1">
      <c r="A188" s="127" t="s">
        <v>51</v>
      </c>
      <c r="B188" s="274">
        <v>43902</v>
      </c>
      <c r="C188" s="285" t="s">
        <v>664</v>
      </c>
      <c r="D188" s="275" t="s">
        <v>161</v>
      </c>
      <c r="E188" s="150"/>
      <c r="F188" s="131"/>
      <c r="G188" s="132">
        <f t="shared" si="392"/>
        <v>0</v>
      </c>
      <c r="H188" s="150"/>
      <c r="I188" s="131"/>
      <c r="J188" s="132">
        <f t="shared" si="383"/>
        <v>0</v>
      </c>
      <c r="K188" s="130"/>
      <c r="L188" s="131"/>
      <c r="M188" s="132">
        <f t="shared" si="384"/>
        <v>0</v>
      </c>
      <c r="N188" s="130"/>
      <c r="O188" s="131"/>
      <c r="P188" s="132">
        <f t="shared" si="385"/>
        <v>0</v>
      </c>
      <c r="Q188" s="130"/>
      <c r="R188" s="131"/>
      <c r="S188" s="132">
        <f t="shared" si="386"/>
        <v>0</v>
      </c>
      <c r="T188" s="130"/>
      <c r="U188" s="131"/>
      <c r="V188" s="238">
        <f t="shared" si="387"/>
        <v>0</v>
      </c>
      <c r="W188" s="276">
        <f t="shared" si="388"/>
        <v>0</v>
      </c>
      <c r="X188" s="122">
        <f t="shared" si="389"/>
        <v>0</v>
      </c>
      <c r="Y188" s="122">
        <f t="shared" si="390"/>
        <v>0</v>
      </c>
      <c r="Z188" s="554" t="e">
        <f t="shared" si="391"/>
        <v>#DIV/0!</v>
      </c>
      <c r="AA188" s="549"/>
      <c r="AB188" s="567"/>
      <c r="AC188" s="125"/>
      <c r="AD188" s="125"/>
      <c r="AE188" s="125"/>
      <c r="AF188" s="125"/>
      <c r="AG188" s="125"/>
    </row>
    <row r="189" spans="1:33" ht="45" customHeight="1" thickBot="1">
      <c r="A189" s="127" t="s">
        <v>51</v>
      </c>
      <c r="B189" s="274">
        <v>43933</v>
      </c>
      <c r="C189" s="278" t="s">
        <v>193</v>
      </c>
      <c r="D189" s="279"/>
      <c r="E189" s="150"/>
      <c r="F189" s="131">
        <v>0.22</v>
      </c>
      <c r="G189" s="132">
        <f t="shared" si="392"/>
        <v>0</v>
      </c>
      <c r="H189" s="150"/>
      <c r="I189" s="131">
        <v>0.22</v>
      </c>
      <c r="J189" s="132">
        <f t="shared" si="383"/>
        <v>0</v>
      </c>
      <c r="K189" s="130"/>
      <c r="L189" s="131">
        <v>0.22</v>
      </c>
      <c r="M189" s="132">
        <f t="shared" si="384"/>
        <v>0</v>
      </c>
      <c r="N189" s="130"/>
      <c r="O189" s="131">
        <v>0.22</v>
      </c>
      <c r="P189" s="132">
        <f t="shared" si="385"/>
        <v>0</v>
      </c>
      <c r="Q189" s="130"/>
      <c r="R189" s="131">
        <v>0.22</v>
      </c>
      <c r="S189" s="132">
        <f t="shared" si="386"/>
        <v>0</v>
      </c>
      <c r="T189" s="130"/>
      <c r="U189" s="131">
        <v>0.22</v>
      </c>
      <c r="V189" s="238">
        <f t="shared" si="387"/>
        <v>0</v>
      </c>
      <c r="W189" s="248">
        <f t="shared" si="388"/>
        <v>0</v>
      </c>
      <c r="X189" s="249">
        <f t="shared" si="389"/>
        <v>0</v>
      </c>
      <c r="Y189" s="249">
        <f t="shared" si="390"/>
        <v>0</v>
      </c>
      <c r="Z189" s="561" t="e">
        <f t="shared" si="391"/>
        <v>#DIV/0!</v>
      </c>
      <c r="AA189" s="549"/>
      <c r="AB189" s="569"/>
      <c r="AC189" s="76"/>
      <c r="AD189" s="76"/>
      <c r="AE189" s="76"/>
      <c r="AF189" s="76"/>
      <c r="AG189" s="76"/>
    </row>
    <row r="190" spans="1:33" ht="30" customHeight="1" thickBot="1">
      <c r="A190" s="170" t="s">
        <v>194</v>
      </c>
      <c r="B190" s="171"/>
      <c r="C190" s="172"/>
      <c r="D190" s="286"/>
      <c r="E190" s="177">
        <f>SUM(E186:E188)</f>
        <v>377</v>
      </c>
      <c r="F190" s="189"/>
      <c r="G190" s="176">
        <f>SUM(G186:G189)</f>
        <v>66300</v>
      </c>
      <c r="H190" s="177">
        <f>SUM(H186:H188)</f>
        <v>252</v>
      </c>
      <c r="I190" s="189"/>
      <c r="J190" s="176">
        <f>SUM(J186:J189)</f>
        <v>40080</v>
      </c>
      <c r="K190" s="190">
        <f>SUM(K186:K188)</f>
        <v>0</v>
      </c>
      <c r="L190" s="189"/>
      <c r="M190" s="176">
        <f>SUM(M186:M189)</f>
        <v>0</v>
      </c>
      <c r="N190" s="190">
        <f>SUM(N186:N188)</f>
        <v>0</v>
      </c>
      <c r="O190" s="189"/>
      <c r="P190" s="176">
        <f>SUM(P186:P189)</f>
        <v>0</v>
      </c>
      <c r="Q190" s="190">
        <f>SUM(Q186:Q188)</f>
        <v>0</v>
      </c>
      <c r="R190" s="189"/>
      <c r="S190" s="176">
        <f>SUM(S186:S189)</f>
        <v>0</v>
      </c>
      <c r="T190" s="190">
        <f>SUM(T186:T188)</f>
        <v>0</v>
      </c>
      <c r="U190" s="189"/>
      <c r="V190" s="178">
        <f t="shared" ref="V190:Y190" si="393">SUM(V186:V189)</f>
        <v>0</v>
      </c>
      <c r="W190" s="229">
        <f t="shared" si="393"/>
        <v>66300</v>
      </c>
      <c r="X190" s="229">
        <f t="shared" si="393"/>
        <v>40080</v>
      </c>
      <c r="Y190" s="229">
        <f t="shared" si="393"/>
        <v>26220</v>
      </c>
      <c r="Z190" s="557">
        <f t="shared" si="391"/>
        <v>0.39547511312217193</v>
      </c>
      <c r="AA190" s="577"/>
      <c r="AB190" s="569"/>
      <c r="AC190" s="76"/>
      <c r="AD190" s="76"/>
      <c r="AE190" s="76"/>
      <c r="AF190" s="76"/>
      <c r="AG190" s="76"/>
    </row>
    <row r="191" spans="1:33" ht="30" customHeight="1" thickBot="1">
      <c r="A191" s="214" t="s">
        <v>49</v>
      </c>
      <c r="B191" s="287">
        <v>13</v>
      </c>
      <c r="C191" s="216" t="s">
        <v>195</v>
      </c>
      <c r="D191" s="102"/>
      <c r="E191" s="103"/>
      <c r="F191" s="103"/>
      <c r="G191" s="103"/>
      <c r="H191" s="103"/>
      <c r="I191" s="103"/>
      <c r="J191" s="103"/>
      <c r="K191" s="103"/>
      <c r="L191" s="103"/>
      <c r="M191" s="103"/>
      <c r="N191" s="103"/>
      <c r="O191" s="103"/>
      <c r="P191" s="103"/>
      <c r="Q191" s="103"/>
      <c r="R191" s="103"/>
      <c r="S191" s="103"/>
      <c r="T191" s="103"/>
      <c r="U191" s="103"/>
      <c r="V191" s="103"/>
      <c r="W191" s="231"/>
      <c r="X191" s="231"/>
      <c r="Y191" s="184"/>
      <c r="Z191" s="231"/>
      <c r="AA191" s="578"/>
      <c r="AB191" s="574"/>
      <c r="AC191" s="76"/>
      <c r="AD191" s="76"/>
      <c r="AE191" s="76"/>
      <c r="AF191" s="76"/>
      <c r="AG191" s="76"/>
    </row>
    <row r="192" spans="1:33" ht="30" customHeight="1">
      <c r="A192" s="106" t="s">
        <v>50</v>
      </c>
      <c r="B192" s="168" t="s">
        <v>665</v>
      </c>
      <c r="C192" s="288" t="s">
        <v>196</v>
      </c>
      <c r="D192" s="135"/>
      <c r="E192" s="136">
        <f>SUM(E193:E195)</f>
        <v>1</v>
      </c>
      <c r="F192" s="137"/>
      <c r="G192" s="138">
        <f>SUM(G193:G196)</f>
        <v>28000</v>
      </c>
      <c r="H192" s="136">
        <f>SUM(H193:H195)</f>
        <v>1</v>
      </c>
      <c r="I192" s="137"/>
      <c r="J192" s="138">
        <f>SUM(J193:J196)</f>
        <v>29900</v>
      </c>
      <c r="K192" s="136">
        <f>SUM(K193:K195)</f>
        <v>0</v>
      </c>
      <c r="L192" s="137"/>
      <c r="M192" s="138">
        <f>SUM(M193:M196)</f>
        <v>0</v>
      </c>
      <c r="N192" s="136">
        <f>SUM(N193:N195)</f>
        <v>0</v>
      </c>
      <c r="O192" s="137"/>
      <c r="P192" s="138">
        <f>SUM(P193:P196)</f>
        <v>0</v>
      </c>
      <c r="Q192" s="136">
        <f>SUM(Q193:Q195)</f>
        <v>0</v>
      </c>
      <c r="R192" s="137"/>
      <c r="S192" s="138">
        <f>SUM(S193:S196)</f>
        <v>0</v>
      </c>
      <c r="T192" s="136">
        <f>SUM(T193:T195)</f>
        <v>0</v>
      </c>
      <c r="U192" s="137"/>
      <c r="V192" s="289">
        <f t="shared" ref="V192:X192" si="394">SUM(V193:V196)</f>
        <v>0</v>
      </c>
      <c r="W192" s="290">
        <f t="shared" si="394"/>
        <v>28000</v>
      </c>
      <c r="X192" s="138">
        <f t="shared" si="394"/>
        <v>29900</v>
      </c>
      <c r="Y192" s="138">
        <f t="shared" ref="Y192:Y232" si="395">W192-X192</f>
        <v>-1900</v>
      </c>
      <c r="Z192" s="289">
        <f t="shared" ref="Z192:Z233" si="396">Y192/W192</f>
        <v>-6.7857142857142852E-2</v>
      </c>
      <c r="AA192" s="548"/>
      <c r="AB192" s="568"/>
      <c r="AC192" s="114"/>
      <c r="AD192" s="114"/>
      <c r="AE192" s="114"/>
      <c r="AF192" s="114"/>
      <c r="AG192" s="114"/>
    </row>
    <row r="193" spans="1:33" ht="30" customHeight="1">
      <c r="A193" s="115" t="s">
        <v>51</v>
      </c>
      <c r="B193" s="116" t="s">
        <v>426</v>
      </c>
      <c r="C193" s="291" t="s">
        <v>197</v>
      </c>
      <c r="D193" s="117" t="s">
        <v>84</v>
      </c>
      <c r="E193" s="118"/>
      <c r="F193" s="119"/>
      <c r="G193" s="120">
        <f t="shared" ref="G193:G196" si="397">E193*F193</f>
        <v>0</v>
      </c>
      <c r="H193" s="118"/>
      <c r="I193" s="119"/>
      <c r="J193" s="120">
        <f t="shared" ref="J193:J196" si="398">H193*I193</f>
        <v>0</v>
      </c>
      <c r="K193" s="118"/>
      <c r="L193" s="119"/>
      <c r="M193" s="120">
        <f t="shared" ref="M193:M196" si="399">K193*L193</f>
        <v>0</v>
      </c>
      <c r="N193" s="118"/>
      <c r="O193" s="119"/>
      <c r="P193" s="120">
        <f t="shared" ref="P193:P196" si="400">N193*O193</f>
        <v>0</v>
      </c>
      <c r="Q193" s="118"/>
      <c r="R193" s="119"/>
      <c r="S193" s="120">
        <f t="shared" ref="S193:S196" si="401">Q193*R193</f>
        <v>0</v>
      </c>
      <c r="T193" s="118"/>
      <c r="U193" s="119"/>
      <c r="V193" s="232">
        <f t="shared" ref="V193:V196" si="402">T193*U193</f>
        <v>0</v>
      </c>
      <c r="W193" s="235">
        <f t="shared" ref="W193:W196" si="403">G193+M193+S193</f>
        <v>0</v>
      </c>
      <c r="X193" s="122">
        <f t="shared" ref="X193:X196" si="404">J193+P193+V193</f>
        <v>0</v>
      </c>
      <c r="Y193" s="122">
        <f t="shared" si="395"/>
        <v>0</v>
      </c>
      <c r="Z193" s="554" t="e">
        <f t="shared" si="396"/>
        <v>#DIV/0!</v>
      </c>
      <c r="AA193" s="549"/>
      <c r="AB193" s="567"/>
      <c r="AC193" s="125"/>
      <c r="AD193" s="125"/>
      <c r="AE193" s="125"/>
      <c r="AF193" s="125"/>
      <c r="AG193" s="125"/>
    </row>
    <row r="194" spans="1:33" s="335" customFormat="1" ht="43.5" customHeight="1">
      <c r="A194" s="361" t="s">
        <v>51</v>
      </c>
      <c r="B194" s="386" t="s">
        <v>427</v>
      </c>
      <c r="C194" s="387" t="s">
        <v>198</v>
      </c>
      <c r="D194" s="388" t="s">
        <v>84</v>
      </c>
      <c r="E194" s="377">
        <v>1</v>
      </c>
      <c r="F194" s="375">
        <v>28000</v>
      </c>
      <c r="G194" s="376">
        <f t="shared" si="397"/>
        <v>28000</v>
      </c>
      <c r="H194" s="377">
        <v>1</v>
      </c>
      <c r="I194" s="375">
        <v>29900</v>
      </c>
      <c r="J194" s="376">
        <f t="shared" si="398"/>
        <v>29900</v>
      </c>
      <c r="K194" s="377"/>
      <c r="L194" s="375"/>
      <c r="M194" s="376">
        <f t="shared" si="399"/>
        <v>0</v>
      </c>
      <c r="N194" s="377"/>
      <c r="O194" s="375"/>
      <c r="P194" s="376">
        <f t="shared" si="400"/>
        <v>0</v>
      </c>
      <c r="Q194" s="377"/>
      <c r="R194" s="375"/>
      <c r="S194" s="376">
        <f t="shared" si="401"/>
        <v>0</v>
      </c>
      <c r="T194" s="377"/>
      <c r="U194" s="375"/>
      <c r="V194" s="378">
        <f t="shared" si="402"/>
        <v>0</v>
      </c>
      <c r="W194" s="379">
        <f t="shared" si="403"/>
        <v>28000</v>
      </c>
      <c r="X194" s="354">
        <f t="shared" si="404"/>
        <v>29900</v>
      </c>
      <c r="Y194" s="354">
        <f t="shared" si="395"/>
        <v>-1900</v>
      </c>
      <c r="Z194" s="553">
        <f t="shared" si="396"/>
        <v>-6.7857142857142852E-2</v>
      </c>
      <c r="AA194" s="547" t="s">
        <v>966</v>
      </c>
      <c r="AB194" s="438"/>
      <c r="AC194" s="334"/>
      <c r="AD194" s="334"/>
      <c r="AE194" s="334"/>
      <c r="AF194" s="334"/>
      <c r="AG194" s="334"/>
    </row>
    <row r="195" spans="1:33" ht="30" customHeight="1">
      <c r="A195" s="115" t="s">
        <v>51</v>
      </c>
      <c r="B195" s="116" t="s">
        <v>428</v>
      </c>
      <c r="C195" s="292" t="s">
        <v>199</v>
      </c>
      <c r="D195" s="117" t="s">
        <v>84</v>
      </c>
      <c r="E195" s="118"/>
      <c r="F195" s="119"/>
      <c r="G195" s="120">
        <f t="shared" si="397"/>
        <v>0</v>
      </c>
      <c r="H195" s="118"/>
      <c r="I195" s="119"/>
      <c r="J195" s="120">
        <f t="shared" si="398"/>
        <v>0</v>
      </c>
      <c r="K195" s="118"/>
      <c r="L195" s="119"/>
      <c r="M195" s="120">
        <f t="shared" si="399"/>
        <v>0</v>
      </c>
      <c r="N195" s="118"/>
      <c r="O195" s="119"/>
      <c r="P195" s="120">
        <f t="shared" si="400"/>
        <v>0</v>
      </c>
      <c r="Q195" s="118"/>
      <c r="R195" s="119"/>
      <c r="S195" s="120">
        <f t="shared" si="401"/>
        <v>0</v>
      </c>
      <c r="T195" s="118"/>
      <c r="U195" s="119"/>
      <c r="V195" s="232">
        <f t="shared" si="402"/>
        <v>0</v>
      </c>
      <c r="W195" s="235">
        <f t="shared" si="403"/>
        <v>0</v>
      </c>
      <c r="X195" s="122">
        <f t="shared" si="404"/>
        <v>0</v>
      </c>
      <c r="Y195" s="122">
        <f t="shared" si="395"/>
        <v>0</v>
      </c>
      <c r="Z195" s="554" t="e">
        <f t="shared" si="396"/>
        <v>#DIV/0!</v>
      </c>
      <c r="AA195" s="549"/>
      <c r="AB195" s="567"/>
      <c r="AC195" s="125"/>
      <c r="AD195" s="125"/>
      <c r="AE195" s="125"/>
      <c r="AF195" s="125"/>
      <c r="AG195" s="125"/>
    </row>
    <row r="196" spans="1:33" ht="46.5" customHeight="1" thickBot="1">
      <c r="A196" s="140" t="s">
        <v>51</v>
      </c>
      <c r="B196" s="166" t="s">
        <v>429</v>
      </c>
      <c r="C196" s="292" t="s">
        <v>200</v>
      </c>
      <c r="D196" s="141"/>
      <c r="E196" s="142"/>
      <c r="F196" s="143">
        <v>0.22</v>
      </c>
      <c r="G196" s="144">
        <f t="shared" si="397"/>
        <v>0</v>
      </c>
      <c r="H196" s="142"/>
      <c r="I196" s="143">
        <v>0.22</v>
      </c>
      <c r="J196" s="144">
        <f t="shared" si="398"/>
        <v>0</v>
      </c>
      <c r="K196" s="142"/>
      <c r="L196" s="143">
        <v>0.22</v>
      </c>
      <c r="M196" s="144">
        <f t="shared" si="399"/>
        <v>0</v>
      </c>
      <c r="N196" s="142"/>
      <c r="O196" s="143">
        <v>0.22</v>
      </c>
      <c r="P196" s="144">
        <f t="shared" si="400"/>
        <v>0</v>
      </c>
      <c r="Q196" s="142"/>
      <c r="R196" s="143">
        <v>0.22</v>
      </c>
      <c r="S196" s="144">
        <f t="shared" si="401"/>
        <v>0</v>
      </c>
      <c r="T196" s="142"/>
      <c r="U196" s="143">
        <v>0.22</v>
      </c>
      <c r="V196" s="293">
        <f t="shared" si="402"/>
        <v>0</v>
      </c>
      <c r="W196" s="248">
        <f t="shared" si="403"/>
        <v>0</v>
      </c>
      <c r="X196" s="249">
        <f t="shared" si="404"/>
        <v>0</v>
      </c>
      <c r="Y196" s="249">
        <f t="shared" si="395"/>
        <v>0</v>
      </c>
      <c r="Z196" s="561" t="e">
        <f t="shared" si="396"/>
        <v>#DIV/0!</v>
      </c>
      <c r="AA196" s="549"/>
      <c r="AB196" s="567"/>
      <c r="AC196" s="125"/>
      <c r="AD196" s="125"/>
      <c r="AE196" s="125"/>
      <c r="AF196" s="125"/>
      <c r="AG196" s="125"/>
    </row>
    <row r="197" spans="1:33" ht="30" customHeight="1">
      <c r="A197" s="156" t="s">
        <v>50</v>
      </c>
      <c r="B197" s="157" t="s">
        <v>425</v>
      </c>
      <c r="C197" s="294" t="s">
        <v>201</v>
      </c>
      <c r="D197" s="109"/>
      <c r="E197" s="110">
        <f>SUM(E198:E200)</f>
        <v>6.5</v>
      </c>
      <c r="F197" s="111"/>
      <c r="G197" s="112">
        <f>SUM(G198:G201)</f>
        <v>205500</v>
      </c>
      <c r="H197" s="110">
        <f>SUM(H198:H200)</f>
        <v>6.5</v>
      </c>
      <c r="I197" s="111"/>
      <c r="J197" s="112">
        <f>SUM(J198:J201)</f>
        <v>233763.99900000001</v>
      </c>
      <c r="K197" s="110">
        <f>SUM(K198:K200)</f>
        <v>0</v>
      </c>
      <c r="L197" s="111"/>
      <c r="M197" s="112">
        <f>SUM(M198:M201)</f>
        <v>0</v>
      </c>
      <c r="N197" s="110">
        <f>SUM(N198:N200)</f>
        <v>0</v>
      </c>
      <c r="O197" s="111"/>
      <c r="P197" s="112">
        <f>SUM(P198:P201)</f>
        <v>0</v>
      </c>
      <c r="Q197" s="110">
        <f>SUM(Q198:Q200)</f>
        <v>0</v>
      </c>
      <c r="R197" s="111"/>
      <c r="S197" s="112">
        <f>SUM(S198:S201)</f>
        <v>0</v>
      </c>
      <c r="T197" s="110">
        <f>SUM(T198:T200)</f>
        <v>0</v>
      </c>
      <c r="U197" s="111"/>
      <c r="V197" s="112">
        <f t="shared" ref="V197" si="405">SUM(V198:V201)</f>
        <v>0</v>
      </c>
      <c r="W197" s="112">
        <f>SUM(W198:W201)</f>
        <v>205500</v>
      </c>
      <c r="X197" s="112">
        <f t="shared" ref="X197:Y197" si="406">SUM(X198:X201)</f>
        <v>233763.99900000001</v>
      </c>
      <c r="Y197" s="112">
        <f t="shared" si="406"/>
        <v>-28263.999000000011</v>
      </c>
      <c r="Z197" s="158">
        <f t="shared" si="396"/>
        <v>-0.13753770802919713</v>
      </c>
      <c r="AA197" s="580"/>
      <c r="AB197" s="568"/>
      <c r="AC197" s="114"/>
      <c r="AD197" s="114"/>
      <c r="AE197" s="114"/>
      <c r="AF197" s="114"/>
      <c r="AG197" s="114"/>
    </row>
    <row r="198" spans="1:33" s="335" customFormat="1" ht="84.75" customHeight="1">
      <c r="A198" s="361" t="s">
        <v>51</v>
      </c>
      <c r="B198" s="389" t="s">
        <v>430</v>
      </c>
      <c r="C198" s="356" t="s">
        <v>431</v>
      </c>
      <c r="D198" s="390" t="s">
        <v>53</v>
      </c>
      <c r="E198" s="377">
        <v>3</v>
      </c>
      <c r="F198" s="375">
        <v>39000</v>
      </c>
      <c r="G198" s="376">
        <f>E198*F198</f>
        <v>117000</v>
      </c>
      <c r="H198" s="377">
        <v>3</v>
      </c>
      <c r="I198" s="375">
        <v>47121.332999999999</v>
      </c>
      <c r="J198" s="391">
        <f>H198*I198</f>
        <v>141363.99900000001</v>
      </c>
      <c r="K198" s="377"/>
      <c r="L198" s="375"/>
      <c r="M198" s="376">
        <f t="shared" ref="M198:M201" si="407">K198*L198</f>
        <v>0</v>
      </c>
      <c r="N198" s="377"/>
      <c r="O198" s="375"/>
      <c r="P198" s="376">
        <f t="shared" ref="P198:P201" si="408">N198*O198</f>
        <v>0</v>
      </c>
      <c r="Q198" s="377"/>
      <c r="R198" s="375"/>
      <c r="S198" s="376">
        <f t="shared" ref="S198:S201" si="409">Q198*R198</f>
        <v>0</v>
      </c>
      <c r="T198" s="377"/>
      <c r="U198" s="375"/>
      <c r="V198" s="376">
        <f t="shared" ref="V198:V201" si="410">T198*U198</f>
        <v>0</v>
      </c>
      <c r="W198" s="392">
        <f t="shared" ref="W198:W201" si="411">G198+M198+S198</f>
        <v>117000</v>
      </c>
      <c r="X198" s="354">
        <f t="shared" ref="X198:X201" si="412">J198+P198+V198</f>
        <v>141363.99900000001</v>
      </c>
      <c r="Y198" s="354">
        <f t="shared" si="395"/>
        <v>-24363.999000000011</v>
      </c>
      <c r="Z198" s="553">
        <f t="shared" si="396"/>
        <v>-0.20823930769230778</v>
      </c>
      <c r="AA198" s="547" t="s">
        <v>967</v>
      </c>
      <c r="AB198" s="438"/>
      <c r="AC198" s="334"/>
      <c r="AD198" s="334"/>
      <c r="AE198" s="334"/>
      <c r="AF198" s="334"/>
      <c r="AG198" s="334"/>
    </row>
    <row r="199" spans="1:33" s="335" customFormat="1" ht="88.5" customHeight="1">
      <c r="A199" s="361" t="s">
        <v>51</v>
      </c>
      <c r="B199" s="389" t="s">
        <v>666</v>
      </c>
      <c r="C199" s="349" t="s">
        <v>202</v>
      </c>
      <c r="D199" s="390" t="s">
        <v>53</v>
      </c>
      <c r="E199" s="377">
        <v>1</v>
      </c>
      <c r="F199" s="375">
        <v>26000</v>
      </c>
      <c r="G199" s="376">
        <f t="shared" ref="G199:G201" si="413">E199*F199</f>
        <v>26000</v>
      </c>
      <c r="H199" s="377">
        <v>1</v>
      </c>
      <c r="I199" s="375">
        <v>29900</v>
      </c>
      <c r="J199" s="376">
        <f>H199*I199</f>
        <v>29900</v>
      </c>
      <c r="K199" s="377"/>
      <c r="L199" s="375"/>
      <c r="M199" s="376">
        <f t="shared" si="407"/>
        <v>0</v>
      </c>
      <c r="N199" s="377"/>
      <c r="O199" s="375"/>
      <c r="P199" s="376">
        <f t="shared" si="408"/>
        <v>0</v>
      </c>
      <c r="Q199" s="377"/>
      <c r="R199" s="375"/>
      <c r="S199" s="376">
        <f t="shared" si="409"/>
        <v>0</v>
      </c>
      <c r="T199" s="377"/>
      <c r="U199" s="375"/>
      <c r="V199" s="376">
        <f t="shared" si="410"/>
        <v>0</v>
      </c>
      <c r="W199" s="392">
        <f t="shared" si="411"/>
        <v>26000</v>
      </c>
      <c r="X199" s="354">
        <f t="shared" si="412"/>
        <v>29900</v>
      </c>
      <c r="Y199" s="354">
        <f>W199-X199</f>
        <v>-3900</v>
      </c>
      <c r="Z199" s="553">
        <f t="shared" si="396"/>
        <v>-0.15</v>
      </c>
      <c r="AA199" s="547" t="s">
        <v>968</v>
      </c>
      <c r="AB199" s="438"/>
      <c r="AC199" s="334"/>
      <c r="AD199" s="334"/>
      <c r="AE199" s="334"/>
      <c r="AF199" s="334"/>
      <c r="AG199" s="334"/>
    </row>
    <row r="200" spans="1:33" s="335" customFormat="1" ht="36" customHeight="1">
      <c r="A200" s="393" t="s">
        <v>51</v>
      </c>
      <c r="B200" s="394" t="s">
        <v>667</v>
      </c>
      <c r="C200" s="363" t="s">
        <v>203</v>
      </c>
      <c r="D200" s="395" t="s">
        <v>53</v>
      </c>
      <c r="E200" s="330">
        <v>2.5</v>
      </c>
      <c r="F200" s="331">
        <v>25000</v>
      </c>
      <c r="G200" s="332">
        <f t="shared" si="413"/>
        <v>62500</v>
      </c>
      <c r="H200" s="330">
        <v>2.5</v>
      </c>
      <c r="I200" s="331">
        <v>25000</v>
      </c>
      <c r="J200" s="332">
        <f t="shared" ref="J200:J201" si="414">H200*I200</f>
        <v>62500</v>
      </c>
      <c r="K200" s="330"/>
      <c r="L200" s="331"/>
      <c r="M200" s="332">
        <f t="shared" si="407"/>
        <v>0</v>
      </c>
      <c r="N200" s="330"/>
      <c r="O200" s="331"/>
      <c r="P200" s="332">
        <f t="shared" si="408"/>
        <v>0</v>
      </c>
      <c r="Q200" s="330"/>
      <c r="R200" s="331"/>
      <c r="S200" s="332">
        <f t="shared" si="409"/>
        <v>0</v>
      </c>
      <c r="T200" s="330"/>
      <c r="U200" s="331"/>
      <c r="V200" s="332">
        <f t="shared" si="410"/>
        <v>0</v>
      </c>
      <c r="W200" s="333">
        <f t="shared" si="411"/>
        <v>62500</v>
      </c>
      <c r="X200" s="354">
        <f t="shared" si="412"/>
        <v>62500</v>
      </c>
      <c r="Y200" s="354">
        <f t="shared" si="395"/>
        <v>0</v>
      </c>
      <c r="Z200" s="553">
        <f t="shared" si="396"/>
        <v>0</v>
      </c>
      <c r="AA200" s="547"/>
      <c r="AB200" s="438"/>
      <c r="AC200" s="334"/>
      <c r="AD200" s="334"/>
      <c r="AE200" s="334"/>
      <c r="AF200" s="334"/>
      <c r="AG200" s="334"/>
    </row>
    <row r="201" spans="1:33" ht="64.5" customHeight="1" thickBot="1">
      <c r="A201" s="127" t="s">
        <v>51</v>
      </c>
      <c r="B201" s="128" t="s">
        <v>434</v>
      </c>
      <c r="C201" s="188" t="s">
        <v>204</v>
      </c>
      <c r="D201" s="141"/>
      <c r="E201" s="130"/>
      <c r="F201" s="131">
        <v>0.22</v>
      </c>
      <c r="G201" s="132">
        <f t="shared" si="413"/>
        <v>0</v>
      </c>
      <c r="H201" s="130"/>
      <c r="I201" s="131">
        <v>0.22</v>
      </c>
      <c r="J201" s="132">
        <f t="shared" si="414"/>
        <v>0</v>
      </c>
      <c r="K201" s="130"/>
      <c r="L201" s="131">
        <v>0.22</v>
      </c>
      <c r="M201" s="132">
        <f t="shared" si="407"/>
        <v>0</v>
      </c>
      <c r="N201" s="130"/>
      <c r="O201" s="131">
        <v>0.22</v>
      </c>
      <c r="P201" s="132">
        <f t="shared" si="408"/>
        <v>0</v>
      </c>
      <c r="Q201" s="130"/>
      <c r="R201" s="131">
        <v>0.22</v>
      </c>
      <c r="S201" s="132">
        <f t="shared" si="409"/>
        <v>0</v>
      </c>
      <c r="T201" s="130"/>
      <c r="U201" s="131">
        <v>0.22</v>
      </c>
      <c r="V201" s="132">
        <f t="shared" si="410"/>
        <v>0</v>
      </c>
      <c r="W201" s="133">
        <f t="shared" si="411"/>
        <v>0</v>
      </c>
      <c r="X201" s="122">
        <f t="shared" si="412"/>
        <v>0</v>
      </c>
      <c r="Y201" s="122">
        <f t="shared" si="395"/>
        <v>0</v>
      </c>
      <c r="Z201" s="554" t="e">
        <f t="shared" si="396"/>
        <v>#DIV/0!</v>
      </c>
      <c r="AA201" s="549"/>
      <c r="AB201" s="567"/>
      <c r="AC201" s="125"/>
      <c r="AD201" s="125"/>
      <c r="AE201" s="125"/>
      <c r="AF201" s="125"/>
      <c r="AG201" s="125"/>
    </row>
    <row r="202" spans="1:33" ht="30" customHeight="1">
      <c r="A202" s="106" t="s">
        <v>50</v>
      </c>
      <c r="B202" s="168" t="s">
        <v>435</v>
      </c>
      <c r="C202" s="228" t="s">
        <v>205</v>
      </c>
      <c r="D202" s="135"/>
      <c r="E202" s="136">
        <f>SUM(E203:E205)</f>
        <v>0</v>
      </c>
      <c r="F202" s="137"/>
      <c r="G202" s="138">
        <f t="shared" ref="G202:H202" si="415">SUM(G203:G205)</f>
        <v>0</v>
      </c>
      <c r="H202" s="136">
        <f t="shared" si="415"/>
        <v>0</v>
      </c>
      <c r="I202" s="137"/>
      <c r="J202" s="138">
        <f t="shared" ref="J202:K202" si="416">SUM(J203:J205)</f>
        <v>0</v>
      </c>
      <c r="K202" s="136">
        <f t="shared" si="416"/>
        <v>0</v>
      </c>
      <c r="L202" s="137"/>
      <c r="M202" s="138">
        <f t="shared" ref="M202:N202" si="417">SUM(M203:M205)</f>
        <v>0</v>
      </c>
      <c r="N202" s="136">
        <f t="shared" si="417"/>
        <v>0</v>
      </c>
      <c r="O202" s="137"/>
      <c r="P202" s="138">
        <f t="shared" ref="P202:Q202" si="418">SUM(P203:P205)</f>
        <v>0</v>
      </c>
      <c r="Q202" s="136">
        <f t="shared" si="418"/>
        <v>0</v>
      </c>
      <c r="R202" s="137"/>
      <c r="S202" s="138">
        <f t="shared" ref="S202:T202" si="419">SUM(S203:S205)</f>
        <v>0</v>
      </c>
      <c r="T202" s="136">
        <f t="shared" si="419"/>
        <v>0</v>
      </c>
      <c r="U202" s="137"/>
      <c r="V202" s="138">
        <f t="shared" ref="V202:X202" si="420">SUM(V203:V205)</f>
        <v>0</v>
      </c>
      <c r="W202" s="138">
        <f t="shared" si="420"/>
        <v>0</v>
      </c>
      <c r="X202" s="138">
        <f t="shared" si="420"/>
        <v>0</v>
      </c>
      <c r="Y202" s="138">
        <f t="shared" si="395"/>
        <v>0</v>
      </c>
      <c r="Z202" s="289" t="e">
        <f t="shared" si="396"/>
        <v>#DIV/0!</v>
      </c>
      <c r="AA202" s="548"/>
      <c r="AB202" s="568"/>
      <c r="AC202" s="114"/>
      <c r="AD202" s="114"/>
      <c r="AE202" s="114"/>
      <c r="AF202" s="114"/>
      <c r="AG202" s="114"/>
    </row>
    <row r="203" spans="1:33" ht="30" customHeight="1">
      <c r="A203" s="115" t="s">
        <v>51</v>
      </c>
      <c r="B203" s="116" t="s">
        <v>436</v>
      </c>
      <c r="C203" s="187" t="s">
        <v>206</v>
      </c>
      <c r="D203" s="117"/>
      <c r="E203" s="118"/>
      <c r="F203" s="119"/>
      <c r="G203" s="120">
        <f t="shared" ref="G203:G205" si="421">E203*F203</f>
        <v>0</v>
      </c>
      <c r="H203" s="118"/>
      <c r="I203" s="119"/>
      <c r="J203" s="120">
        <f t="shared" ref="J203:J205" si="422">H203*I203</f>
        <v>0</v>
      </c>
      <c r="K203" s="118"/>
      <c r="L203" s="119"/>
      <c r="M203" s="120">
        <f t="shared" ref="M203:M205" si="423">K203*L203</f>
        <v>0</v>
      </c>
      <c r="N203" s="118"/>
      <c r="O203" s="119"/>
      <c r="P203" s="120">
        <f t="shared" ref="P203:P205" si="424">N203*O203</f>
        <v>0</v>
      </c>
      <c r="Q203" s="118"/>
      <c r="R203" s="119"/>
      <c r="S203" s="120">
        <f t="shared" ref="S203:S205" si="425">Q203*R203</f>
        <v>0</v>
      </c>
      <c r="T203" s="118"/>
      <c r="U203" s="119"/>
      <c r="V203" s="120">
        <f t="shared" ref="V203:V205" si="426">T203*U203</f>
        <v>0</v>
      </c>
      <c r="W203" s="121">
        <f t="shared" ref="W203:W205" si="427">G203+M203+S203</f>
        <v>0</v>
      </c>
      <c r="X203" s="122">
        <f t="shared" ref="X203:X205" si="428">J203+P203+V203</f>
        <v>0</v>
      </c>
      <c r="Y203" s="122">
        <f t="shared" si="395"/>
        <v>0</v>
      </c>
      <c r="Z203" s="554" t="e">
        <f t="shared" si="396"/>
        <v>#DIV/0!</v>
      </c>
      <c r="AA203" s="549"/>
      <c r="AB203" s="567"/>
      <c r="AC203" s="125"/>
      <c r="AD203" s="125"/>
      <c r="AE203" s="125"/>
      <c r="AF203" s="125"/>
      <c r="AG203" s="125"/>
    </row>
    <row r="204" spans="1:33" ht="30" customHeight="1">
      <c r="A204" s="115" t="s">
        <v>51</v>
      </c>
      <c r="B204" s="116" t="s">
        <v>437</v>
      </c>
      <c r="C204" s="187" t="s">
        <v>206</v>
      </c>
      <c r="D204" s="117"/>
      <c r="E204" s="118"/>
      <c r="F204" s="119"/>
      <c r="G204" s="120">
        <f t="shared" si="421"/>
        <v>0</v>
      </c>
      <c r="H204" s="118"/>
      <c r="I204" s="119"/>
      <c r="J204" s="120">
        <f t="shared" si="422"/>
        <v>0</v>
      </c>
      <c r="K204" s="118"/>
      <c r="L204" s="119"/>
      <c r="M204" s="120">
        <f t="shared" si="423"/>
        <v>0</v>
      </c>
      <c r="N204" s="118"/>
      <c r="O204" s="119"/>
      <c r="P204" s="120">
        <f t="shared" si="424"/>
        <v>0</v>
      </c>
      <c r="Q204" s="118"/>
      <c r="R204" s="119"/>
      <c r="S204" s="120">
        <f t="shared" si="425"/>
        <v>0</v>
      </c>
      <c r="T204" s="118"/>
      <c r="U204" s="119"/>
      <c r="V204" s="120">
        <f t="shared" si="426"/>
        <v>0</v>
      </c>
      <c r="W204" s="121">
        <f t="shared" si="427"/>
        <v>0</v>
      </c>
      <c r="X204" s="122">
        <f t="shared" si="428"/>
        <v>0</v>
      </c>
      <c r="Y204" s="122">
        <f t="shared" si="395"/>
        <v>0</v>
      </c>
      <c r="Z204" s="554" t="e">
        <f t="shared" si="396"/>
        <v>#DIV/0!</v>
      </c>
      <c r="AA204" s="549"/>
      <c r="AB204" s="567"/>
      <c r="AC204" s="125"/>
      <c r="AD204" s="125"/>
      <c r="AE204" s="125"/>
      <c r="AF204" s="125"/>
      <c r="AG204" s="125"/>
    </row>
    <row r="205" spans="1:33" ht="30" customHeight="1" thickBot="1">
      <c r="A205" s="127" t="s">
        <v>51</v>
      </c>
      <c r="B205" s="128" t="s">
        <v>438</v>
      </c>
      <c r="C205" s="167" t="s">
        <v>206</v>
      </c>
      <c r="D205" s="129"/>
      <c r="E205" s="130"/>
      <c r="F205" s="131"/>
      <c r="G205" s="132">
        <f t="shared" si="421"/>
        <v>0</v>
      </c>
      <c r="H205" s="130"/>
      <c r="I205" s="131"/>
      <c r="J205" s="132">
        <f t="shared" si="422"/>
        <v>0</v>
      </c>
      <c r="K205" s="130"/>
      <c r="L205" s="131"/>
      <c r="M205" s="132">
        <f t="shared" si="423"/>
        <v>0</v>
      </c>
      <c r="N205" s="130"/>
      <c r="O205" s="131"/>
      <c r="P205" s="132">
        <f t="shared" si="424"/>
        <v>0</v>
      </c>
      <c r="Q205" s="130"/>
      <c r="R205" s="131"/>
      <c r="S205" s="132">
        <f t="shared" si="425"/>
        <v>0</v>
      </c>
      <c r="T205" s="130"/>
      <c r="U205" s="131"/>
      <c r="V205" s="132">
        <f t="shared" si="426"/>
        <v>0</v>
      </c>
      <c r="W205" s="133">
        <f t="shared" si="427"/>
        <v>0</v>
      </c>
      <c r="X205" s="122">
        <f t="shared" si="428"/>
        <v>0</v>
      </c>
      <c r="Y205" s="122">
        <f t="shared" si="395"/>
        <v>0</v>
      </c>
      <c r="Z205" s="554" t="e">
        <f t="shared" si="396"/>
        <v>#DIV/0!</v>
      </c>
      <c r="AA205" s="549"/>
      <c r="AB205" s="567"/>
      <c r="AC205" s="125"/>
      <c r="AD205" s="125"/>
      <c r="AE205" s="125"/>
      <c r="AF205" s="125"/>
      <c r="AG205" s="125"/>
    </row>
    <row r="206" spans="1:33" ht="30" customHeight="1">
      <c r="A206" s="106" t="s">
        <v>50</v>
      </c>
      <c r="B206" s="168" t="s">
        <v>439</v>
      </c>
      <c r="C206" s="295" t="s">
        <v>195</v>
      </c>
      <c r="D206" s="135"/>
      <c r="E206" s="136">
        <f>SUM(E207:E213)</f>
        <v>35</v>
      </c>
      <c r="F206" s="137"/>
      <c r="G206" s="138">
        <f>SUM(G207:G231)</f>
        <v>709000</v>
      </c>
      <c r="H206" s="136">
        <f>SUM(H207:H213)</f>
        <v>35</v>
      </c>
      <c r="I206" s="137"/>
      <c r="J206" s="138">
        <f>SUM(J207:J231)</f>
        <v>587181.63</v>
      </c>
      <c r="K206" s="136">
        <f>SUM(K207:K213)</f>
        <v>35</v>
      </c>
      <c r="L206" s="137"/>
      <c r="M206" s="138">
        <f>SUM(M207:M231)</f>
        <v>141600</v>
      </c>
      <c r="N206" s="136">
        <f>SUM(N207:N213)</f>
        <v>35</v>
      </c>
      <c r="O206" s="137"/>
      <c r="P206" s="138">
        <f>SUM(P207:P231)</f>
        <v>147317</v>
      </c>
      <c r="Q206" s="136">
        <f>SUM(Q207:Q213)</f>
        <v>0</v>
      </c>
      <c r="R206" s="137"/>
      <c r="S206" s="138">
        <f>SUM(S207:S231)</f>
        <v>0</v>
      </c>
      <c r="T206" s="136">
        <f>SUM(T207:T213)</f>
        <v>0</v>
      </c>
      <c r="U206" s="137"/>
      <c r="V206" s="138">
        <f>SUM(V207:V231)</f>
        <v>0</v>
      </c>
      <c r="W206" s="138">
        <f>SUM(W207:W231)</f>
        <v>850600</v>
      </c>
      <c r="X206" s="138">
        <f t="shared" ref="X206:Y206" si="429">SUM(X207:X231)</f>
        <v>734498.63</v>
      </c>
      <c r="Y206" s="138">
        <f t="shared" si="429"/>
        <v>116101.37000000001</v>
      </c>
      <c r="Z206" s="289">
        <f t="shared" si="396"/>
        <v>0.13649349870679522</v>
      </c>
      <c r="AA206" s="548"/>
      <c r="AB206" s="568"/>
      <c r="AC206" s="114"/>
      <c r="AD206" s="114"/>
      <c r="AE206" s="114"/>
      <c r="AF206" s="114"/>
      <c r="AG206" s="114"/>
    </row>
    <row r="207" spans="1:33" ht="30" customHeight="1">
      <c r="A207" s="115" t="s">
        <v>51</v>
      </c>
      <c r="B207" s="116" t="s">
        <v>440</v>
      </c>
      <c r="C207" s="187" t="s">
        <v>207</v>
      </c>
      <c r="D207" s="117"/>
      <c r="E207" s="118"/>
      <c r="F207" s="119"/>
      <c r="G207" s="120">
        <f t="shared" ref="G207:G231" si="430">E207*F207</f>
        <v>0</v>
      </c>
      <c r="H207" s="118"/>
      <c r="I207" s="119"/>
      <c r="J207" s="120">
        <f t="shared" ref="J207:J224" si="431">H207*I207</f>
        <v>0</v>
      </c>
      <c r="K207" s="118"/>
      <c r="L207" s="119"/>
      <c r="M207" s="120">
        <f t="shared" ref="M207:M231" si="432">K207*L207</f>
        <v>0</v>
      </c>
      <c r="N207" s="118"/>
      <c r="O207" s="119"/>
      <c r="P207" s="120">
        <f t="shared" ref="P207:P231" si="433">N207*O207</f>
        <v>0</v>
      </c>
      <c r="Q207" s="118"/>
      <c r="R207" s="119"/>
      <c r="S207" s="120">
        <f t="shared" ref="S207:S231" si="434">Q207*R207</f>
        <v>0</v>
      </c>
      <c r="T207" s="118"/>
      <c r="U207" s="119"/>
      <c r="V207" s="120">
        <f t="shared" ref="V207:V231" si="435">T207*U207</f>
        <v>0</v>
      </c>
      <c r="W207" s="121">
        <f t="shared" ref="W207:W231" si="436">G207+M207+S207</f>
        <v>0</v>
      </c>
      <c r="X207" s="122">
        <f t="shared" ref="X207:X231" si="437">J207+P207+V207</f>
        <v>0</v>
      </c>
      <c r="Y207" s="122">
        <f t="shared" si="395"/>
        <v>0</v>
      </c>
      <c r="Z207" s="554" t="e">
        <f t="shared" si="396"/>
        <v>#DIV/0!</v>
      </c>
      <c r="AA207" s="549"/>
      <c r="AB207" s="567"/>
      <c r="AC207" s="125"/>
      <c r="AD207" s="125"/>
      <c r="AE207" s="125"/>
      <c r="AF207" s="125"/>
      <c r="AG207" s="125"/>
    </row>
    <row r="208" spans="1:33" ht="30" customHeight="1">
      <c r="A208" s="115" t="s">
        <v>51</v>
      </c>
      <c r="B208" s="116" t="s">
        <v>441</v>
      </c>
      <c r="C208" s="187" t="s">
        <v>208</v>
      </c>
      <c r="D208" s="117"/>
      <c r="E208" s="118"/>
      <c r="F208" s="119"/>
      <c r="G208" s="120">
        <f t="shared" si="430"/>
        <v>0</v>
      </c>
      <c r="H208" s="118"/>
      <c r="I208" s="119"/>
      <c r="J208" s="120">
        <f t="shared" si="431"/>
        <v>0</v>
      </c>
      <c r="K208" s="118"/>
      <c r="L208" s="119"/>
      <c r="M208" s="120">
        <f t="shared" si="432"/>
        <v>0</v>
      </c>
      <c r="N208" s="118"/>
      <c r="O208" s="119"/>
      <c r="P208" s="120">
        <f t="shared" si="433"/>
        <v>0</v>
      </c>
      <c r="Q208" s="118"/>
      <c r="R208" s="119"/>
      <c r="S208" s="120">
        <f t="shared" si="434"/>
        <v>0</v>
      </c>
      <c r="T208" s="118"/>
      <c r="U208" s="119"/>
      <c r="V208" s="120">
        <f t="shared" si="435"/>
        <v>0</v>
      </c>
      <c r="W208" s="133">
        <f t="shared" si="436"/>
        <v>0</v>
      </c>
      <c r="X208" s="122">
        <f t="shared" si="437"/>
        <v>0</v>
      </c>
      <c r="Y208" s="122">
        <f t="shared" si="395"/>
        <v>0</v>
      </c>
      <c r="Z208" s="554" t="e">
        <f t="shared" si="396"/>
        <v>#DIV/0!</v>
      </c>
      <c r="AA208" s="549"/>
      <c r="AB208" s="567"/>
      <c r="AC208" s="125"/>
      <c r="AD208" s="125"/>
      <c r="AE208" s="125"/>
      <c r="AF208" s="125"/>
      <c r="AG208" s="125"/>
    </row>
    <row r="209" spans="1:33" ht="44.25" customHeight="1">
      <c r="A209" s="115" t="s">
        <v>51</v>
      </c>
      <c r="B209" s="116" t="s">
        <v>442</v>
      </c>
      <c r="C209" s="187" t="s">
        <v>209</v>
      </c>
      <c r="D209" s="117"/>
      <c r="E209" s="118"/>
      <c r="F209" s="119"/>
      <c r="G209" s="120">
        <f t="shared" si="430"/>
        <v>0</v>
      </c>
      <c r="H209" s="118"/>
      <c r="I209" s="119"/>
      <c r="J209" s="120">
        <f t="shared" si="431"/>
        <v>0</v>
      </c>
      <c r="K209" s="118"/>
      <c r="L209" s="119"/>
      <c r="M209" s="120">
        <f t="shared" si="432"/>
        <v>0</v>
      </c>
      <c r="N209" s="118"/>
      <c r="O209" s="119"/>
      <c r="P209" s="120">
        <f t="shared" si="433"/>
        <v>0</v>
      </c>
      <c r="Q209" s="118"/>
      <c r="R209" s="119"/>
      <c r="S209" s="120">
        <f t="shared" si="434"/>
        <v>0</v>
      </c>
      <c r="T209" s="118"/>
      <c r="U209" s="119"/>
      <c r="V209" s="120">
        <f t="shared" si="435"/>
        <v>0</v>
      </c>
      <c r="W209" s="133">
        <f t="shared" si="436"/>
        <v>0</v>
      </c>
      <c r="X209" s="122">
        <f t="shared" si="437"/>
        <v>0</v>
      </c>
      <c r="Y209" s="122">
        <f t="shared" si="395"/>
        <v>0</v>
      </c>
      <c r="Z209" s="554" t="e">
        <f t="shared" si="396"/>
        <v>#DIV/0!</v>
      </c>
      <c r="AA209" s="549"/>
      <c r="AB209" s="567"/>
      <c r="AC209" s="125"/>
      <c r="AD209" s="125"/>
      <c r="AE209" s="125"/>
      <c r="AF209" s="125"/>
      <c r="AG209" s="125"/>
    </row>
    <row r="210" spans="1:33" ht="30" customHeight="1">
      <c r="A210" s="115" t="s">
        <v>51</v>
      </c>
      <c r="B210" s="116" t="s">
        <v>443</v>
      </c>
      <c r="C210" s="187" t="s">
        <v>210</v>
      </c>
      <c r="D210" s="117"/>
      <c r="E210" s="118"/>
      <c r="F210" s="119"/>
      <c r="G210" s="120">
        <f t="shared" si="430"/>
        <v>0</v>
      </c>
      <c r="H210" s="118"/>
      <c r="I210" s="119"/>
      <c r="J210" s="120">
        <f t="shared" si="431"/>
        <v>0</v>
      </c>
      <c r="K210" s="118"/>
      <c r="L210" s="119"/>
      <c r="M210" s="120">
        <f t="shared" si="432"/>
        <v>0</v>
      </c>
      <c r="N210" s="118"/>
      <c r="O210" s="119"/>
      <c r="P210" s="120">
        <f t="shared" si="433"/>
        <v>0</v>
      </c>
      <c r="Q210" s="118"/>
      <c r="R210" s="119"/>
      <c r="S210" s="120">
        <f t="shared" si="434"/>
        <v>0</v>
      </c>
      <c r="T210" s="118"/>
      <c r="U210" s="119"/>
      <c r="V210" s="120">
        <f t="shared" si="435"/>
        <v>0</v>
      </c>
      <c r="W210" s="133">
        <f t="shared" si="436"/>
        <v>0</v>
      </c>
      <c r="X210" s="122">
        <f t="shared" si="437"/>
        <v>0</v>
      </c>
      <c r="Y210" s="122">
        <f t="shared" si="395"/>
        <v>0</v>
      </c>
      <c r="Z210" s="554" t="e">
        <f t="shared" si="396"/>
        <v>#DIV/0!</v>
      </c>
      <c r="AA210" s="549"/>
      <c r="AB210" s="567"/>
      <c r="AC210" s="125"/>
      <c r="AD210" s="125"/>
      <c r="AE210" s="125"/>
      <c r="AF210" s="125"/>
      <c r="AG210" s="125"/>
    </row>
    <row r="211" spans="1:33" s="335" customFormat="1" ht="54" customHeight="1">
      <c r="A211" s="361" t="s">
        <v>51</v>
      </c>
      <c r="B211" s="386" t="s">
        <v>444</v>
      </c>
      <c r="C211" s="380" t="s">
        <v>668</v>
      </c>
      <c r="D211" s="396" t="s">
        <v>73</v>
      </c>
      <c r="E211" s="377"/>
      <c r="F211" s="375"/>
      <c r="G211" s="376">
        <f t="shared" si="430"/>
        <v>0</v>
      </c>
      <c r="H211" s="377"/>
      <c r="I211" s="375"/>
      <c r="J211" s="376">
        <f t="shared" si="431"/>
        <v>0</v>
      </c>
      <c r="K211" s="377">
        <v>1</v>
      </c>
      <c r="L211" s="375">
        <v>20000</v>
      </c>
      <c r="M211" s="376">
        <f t="shared" si="432"/>
        <v>20000</v>
      </c>
      <c r="N211" s="377">
        <v>1</v>
      </c>
      <c r="O211" s="375">
        <v>20000</v>
      </c>
      <c r="P211" s="376">
        <f t="shared" si="433"/>
        <v>20000</v>
      </c>
      <c r="Q211" s="377"/>
      <c r="R211" s="375"/>
      <c r="S211" s="376">
        <f t="shared" si="434"/>
        <v>0</v>
      </c>
      <c r="T211" s="377"/>
      <c r="U211" s="375"/>
      <c r="V211" s="376">
        <f t="shared" si="435"/>
        <v>0</v>
      </c>
      <c r="W211" s="333">
        <f t="shared" si="436"/>
        <v>20000</v>
      </c>
      <c r="X211" s="354">
        <f t="shared" si="437"/>
        <v>20000</v>
      </c>
      <c r="Y211" s="354">
        <f t="shared" si="395"/>
        <v>0</v>
      </c>
      <c r="Z211" s="553">
        <f t="shared" si="396"/>
        <v>0</v>
      </c>
      <c r="AA211" s="547"/>
      <c r="AB211" s="571"/>
      <c r="AC211" s="334"/>
      <c r="AD211" s="334"/>
      <c r="AE211" s="334"/>
      <c r="AF211" s="334"/>
      <c r="AG211" s="334"/>
    </row>
    <row r="212" spans="1:33" s="335" customFormat="1" ht="46.5" customHeight="1">
      <c r="A212" s="361" t="s">
        <v>51</v>
      </c>
      <c r="B212" s="389" t="s">
        <v>446</v>
      </c>
      <c r="C212" s="356" t="s">
        <v>211</v>
      </c>
      <c r="D212" s="390" t="s">
        <v>73</v>
      </c>
      <c r="E212" s="377">
        <v>1</v>
      </c>
      <c r="F212" s="375">
        <v>72000</v>
      </c>
      <c r="G212" s="376">
        <f t="shared" si="430"/>
        <v>72000</v>
      </c>
      <c r="H212" s="377">
        <v>1</v>
      </c>
      <c r="I212" s="375">
        <v>14077.13</v>
      </c>
      <c r="J212" s="376">
        <f t="shared" si="431"/>
        <v>14077.13</v>
      </c>
      <c r="K212" s="377"/>
      <c r="L212" s="375"/>
      <c r="M212" s="376">
        <f t="shared" si="432"/>
        <v>0</v>
      </c>
      <c r="N212" s="377"/>
      <c r="O212" s="375"/>
      <c r="P212" s="376">
        <f t="shared" si="433"/>
        <v>0</v>
      </c>
      <c r="Q212" s="377"/>
      <c r="R212" s="375"/>
      <c r="S212" s="376">
        <f t="shared" si="434"/>
        <v>0</v>
      </c>
      <c r="T212" s="377"/>
      <c r="U212" s="375"/>
      <c r="V212" s="376">
        <f t="shared" si="435"/>
        <v>0</v>
      </c>
      <c r="W212" s="333">
        <f t="shared" si="436"/>
        <v>72000</v>
      </c>
      <c r="X212" s="354">
        <f t="shared" si="437"/>
        <v>14077.13</v>
      </c>
      <c r="Y212" s="354">
        <f t="shared" si="395"/>
        <v>57922.87</v>
      </c>
      <c r="Z212" s="553">
        <f t="shared" si="396"/>
        <v>0.80448430555555561</v>
      </c>
      <c r="AA212" s="547" t="s">
        <v>969</v>
      </c>
      <c r="AB212" s="438"/>
      <c r="AC212" s="334"/>
      <c r="AD212" s="334"/>
      <c r="AE212" s="334"/>
      <c r="AF212" s="334"/>
      <c r="AG212" s="334"/>
    </row>
    <row r="213" spans="1:33" ht="21.75" customHeight="1">
      <c r="A213" s="127" t="s">
        <v>51</v>
      </c>
      <c r="B213" s="236" t="s">
        <v>470</v>
      </c>
      <c r="C213" s="206" t="s">
        <v>212</v>
      </c>
      <c r="D213" s="246" t="s">
        <v>91</v>
      </c>
      <c r="E213" s="130">
        <v>34</v>
      </c>
      <c r="F213" s="131">
        <v>600</v>
      </c>
      <c r="G213" s="132">
        <f t="shared" si="430"/>
        <v>20400</v>
      </c>
      <c r="H213" s="130">
        <v>34</v>
      </c>
      <c r="I213" s="131">
        <v>600</v>
      </c>
      <c r="J213" s="132">
        <f t="shared" si="431"/>
        <v>20400</v>
      </c>
      <c r="K213" s="130">
        <v>34</v>
      </c>
      <c r="L213" s="131">
        <v>1400</v>
      </c>
      <c r="M213" s="120">
        <f t="shared" si="432"/>
        <v>47600</v>
      </c>
      <c r="N213" s="130">
        <v>34</v>
      </c>
      <c r="O213" s="131">
        <v>1400</v>
      </c>
      <c r="P213" s="132">
        <v>47600</v>
      </c>
      <c r="Q213" s="130"/>
      <c r="R213" s="131"/>
      <c r="S213" s="132">
        <f t="shared" si="434"/>
        <v>0</v>
      </c>
      <c r="T213" s="130"/>
      <c r="U213" s="131"/>
      <c r="V213" s="132">
        <f t="shared" si="435"/>
        <v>0</v>
      </c>
      <c r="W213" s="133">
        <f t="shared" si="436"/>
        <v>68000</v>
      </c>
      <c r="X213" s="122">
        <f t="shared" si="437"/>
        <v>68000</v>
      </c>
      <c r="Y213" s="122">
        <f t="shared" si="395"/>
        <v>0</v>
      </c>
      <c r="Z213" s="554">
        <f t="shared" si="396"/>
        <v>0</v>
      </c>
      <c r="AA213" s="549"/>
      <c r="AB213" s="567"/>
      <c r="AC213" s="125"/>
      <c r="AD213" s="125"/>
      <c r="AE213" s="125"/>
      <c r="AF213" s="125"/>
      <c r="AG213" s="125"/>
    </row>
    <row r="214" spans="1:33" s="335" customFormat="1" ht="77.25" customHeight="1">
      <c r="A214" s="347" t="s">
        <v>51</v>
      </c>
      <c r="B214" s="417" t="s">
        <v>471</v>
      </c>
      <c r="C214" s="356" t="s">
        <v>213</v>
      </c>
      <c r="D214" s="418" t="s">
        <v>91</v>
      </c>
      <c r="E214" s="330">
        <v>4</v>
      </c>
      <c r="F214" s="331">
        <v>4000</v>
      </c>
      <c r="G214" s="332">
        <f t="shared" si="430"/>
        <v>16000</v>
      </c>
      <c r="H214" s="330">
        <v>4</v>
      </c>
      <c r="I214" s="331">
        <v>7450</v>
      </c>
      <c r="J214" s="332">
        <f>H214*I214</f>
        <v>29800</v>
      </c>
      <c r="K214" s="330"/>
      <c r="L214" s="331"/>
      <c r="M214" s="332">
        <f t="shared" si="432"/>
        <v>0</v>
      </c>
      <c r="N214" s="330"/>
      <c r="O214" s="331"/>
      <c r="P214" s="332">
        <f t="shared" si="433"/>
        <v>0</v>
      </c>
      <c r="Q214" s="330"/>
      <c r="R214" s="331"/>
      <c r="S214" s="332">
        <f t="shared" si="434"/>
        <v>0</v>
      </c>
      <c r="T214" s="330"/>
      <c r="U214" s="331"/>
      <c r="V214" s="332"/>
      <c r="W214" s="333">
        <f t="shared" si="436"/>
        <v>16000</v>
      </c>
      <c r="X214" s="354">
        <f t="shared" si="437"/>
        <v>29800</v>
      </c>
      <c r="Y214" s="354">
        <f t="shared" si="395"/>
        <v>-13800</v>
      </c>
      <c r="Z214" s="553">
        <f t="shared" si="396"/>
        <v>-0.86250000000000004</v>
      </c>
      <c r="AA214" s="547" t="s">
        <v>970</v>
      </c>
      <c r="AB214" s="438"/>
      <c r="AC214" s="334"/>
      <c r="AD214" s="334"/>
      <c r="AE214" s="334"/>
      <c r="AF214" s="334"/>
      <c r="AG214" s="334"/>
    </row>
    <row r="215" spans="1:33" ht="34.5" customHeight="1">
      <c r="A215" s="261" t="s">
        <v>51</v>
      </c>
      <c r="B215" s="296" t="s">
        <v>472</v>
      </c>
      <c r="C215" s="202" t="s">
        <v>473</v>
      </c>
      <c r="D215" s="246" t="s">
        <v>73</v>
      </c>
      <c r="E215" s="130"/>
      <c r="F215" s="131"/>
      <c r="G215" s="132">
        <f t="shared" si="430"/>
        <v>0</v>
      </c>
      <c r="H215" s="130"/>
      <c r="I215" s="131"/>
      <c r="J215" s="132">
        <f t="shared" si="431"/>
        <v>0</v>
      </c>
      <c r="K215" s="130">
        <v>2</v>
      </c>
      <c r="L215" s="131">
        <v>8000</v>
      </c>
      <c r="M215" s="132">
        <f t="shared" si="432"/>
        <v>16000</v>
      </c>
      <c r="N215" s="130">
        <v>2</v>
      </c>
      <c r="O215" s="131">
        <v>8000</v>
      </c>
      <c r="P215" s="132">
        <f t="shared" si="433"/>
        <v>16000</v>
      </c>
      <c r="Q215" s="130"/>
      <c r="R215" s="131"/>
      <c r="S215" s="132">
        <f t="shared" si="434"/>
        <v>0</v>
      </c>
      <c r="T215" s="130"/>
      <c r="U215" s="131"/>
      <c r="V215" s="132"/>
      <c r="W215" s="133">
        <f t="shared" si="436"/>
        <v>16000</v>
      </c>
      <c r="X215" s="122">
        <f t="shared" si="437"/>
        <v>16000</v>
      </c>
      <c r="Y215" s="122">
        <f t="shared" si="395"/>
        <v>0</v>
      </c>
      <c r="Z215" s="554">
        <f t="shared" si="396"/>
        <v>0</v>
      </c>
      <c r="AA215" s="549"/>
      <c r="AB215" s="567"/>
      <c r="AC215" s="125"/>
      <c r="AD215" s="125"/>
      <c r="AE215" s="125"/>
      <c r="AF215" s="125"/>
      <c r="AG215" s="125"/>
    </row>
    <row r="216" spans="1:33" s="335" customFormat="1" ht="96" customHeight="1">
      <c r="A216" s="347" t="s">
        <v>51</v>
      </c>
      <c r="B216" s="417" t="s">
        <v>474</v>
      </c>
      <c r="C216" s="356" t="s">
        <v>214</v>
      </c>
      <c r="D216" s="418" t="s">
        <v>53</v>
      </c>
      <c r="E216" s="330">
        <v>3</v>
      </c>
      <c r="F216" s="331">
        <v>29800</v>
      </c>
      <c r="G216" s="332">
        <f t="shared" si="430"/>
        <v>89400</v>
      </c>
      <c r="H216" s="330">
        <v>3</v>
      </c>
      <c r="I216" s="331">
        <v>31972</v>
      </c>
      <c r="J216" s="132">
        <f t="shared" si="431"/>
        <v>95916</v>
      </c>
      <c r="K216" s="330"/>
      <c r="L216" s="331"/>
      <c r="M216" s="332">
        <f t="shared" si="432"/>
        <v>0</v>
      </c>
      <c r="N216" s="330"/>
      <c r="O216" s="331"/>
      <c r="P216" s="332">
        <f t="shared" si="433"/>
        <v>0</v>
      </c>
      <c r="Q216" s="330"/>
      <c r="R216" s="331"/>
      <c r="S216" s="332">
        <f t="shared" si="434"/>
        <v>0</v>
      </c>
      <c r="T216" s="330"/>
      <c r="U216" s="331"/>
      <c r="V216" s="332"/>
      <c r="W216" s="333">
        <f t="shared" si="436"/>
        <v>89400</v>
      </c>
      <c r="X216" s="354">
        <f t="shared" si="437"/>
        <v>95916</v>
      </c>
      <c r="Y216" s="354">
        <f t="shared" si="395"/>
        <v>-6516</v>
      </c>
      <c r="Z216" s="553">
        <f t="shared" si="396"/>
        <v>-7.2885906040268456E-2</v>
      </c>
      <c r="AA216" s="547" t="s">
        <v>971</v>
      </c>
      <c r="AB216" s="438"/>
      <c r="AC216" s="334"/>
      <c r="AD216" s="334"/>
      <c r="AE216" s="334"/>
      <c r="AF216" s="334"/>
      <c r="AG216" s="334"/>
    </row>
    <row r="217" spans="1:33" s="335" customFormat="1" ht="111.75" customHeight="1">
      <c r="A217" s="347" t="s">
        <v>51</v>
      </c>
      <c r="B217" s="417" t="s">
        <v>475</v>
      </c>
      <c r="C217" s="356" t="s">
        <v>476</v>
      </c>
      <c r="D217" s="418" t="s">
        <v>91</v>
      </c>
      <c r="E217" s="330">
        <v>4</v>
      </c>
      <c r="F217" s="331">
        <v>18000</v>
      </c>
      <c r="G217" s="332">
        <f t="shared" si="430"/>
        <v>72000</v>
      </c>
      <c r="H217" s="330">
        <v>1</v>
      </c>
      <c r="I217" s="331">
        <v>15156.06</v>
      </c>
      <c r="J217" s="332">
        <f t="shared" si="431"/>
        <v>15156.06</v>
      </c>
      <c r="K217" s="330"/>
      <c r="L217" s="331"/>
      <c r="M217" s="332">
        <f t="shared" si="432"/>
        <v>0</v>
      </c>
      <c r="N217" s="330"/>
      <c r="O217" s="331"/>
      <c r="P217" s="332">
        <f t="shared" si="433"/>
        <v>0</v>
      </c>
      <c r="Q217" s="330"/>
      <c r="R217" s="331"/>
      <c r="S217" s="332">
        <f t="shared" si="434"/>
        <v>0</v>
      </c>
      <c r="T217" s="330"/>
      <c r="U217" s="331"/>
      <c r="V217" s="332"/>
      <c r="W217" s="333">
        <f t="shared" si="436"/>
        <v>72000</v>
      </c>
      <c r="X217" s="354">
        <f t="shared" si="437"/>
        <v>15156.06</v>
      </c>
      <c r="Y217" s="354">
        <f t="shared" si="395"/>
        <v>56843.94</v>
      </c>
      <c r="Z217" s="553">
        <f t="shared" si="396"/>
        <v>0.78949916666666675</v>
      </c>
      <c r="AA217" s="595" t="s">
        <v>1058</v>
      </c>
      <c r="AB217" s="438"/>
      <c r="AC217" s="334"/>
      <c r="AD217" s="334"/>
      <c r="AE217" s="334"/>
      <c r="AF217" s="334"/>
      <c r="AG217" s="334"/>
    </row>
    <row r="218" spans="1:33" ht="45.75" customHeight="1">
      <c r="A218" s="261" t="s">
        <v>51</v>
      </c>
      <c r="B218" s="296" t="s">
        <v>477</v>
      </c>
      <c r="C218" s="206" t="s">
        <v>215</v>
      </c>
      <c r="D218" s="246" t="s">
        <v>91</v>
      </c>
      <c r="E218" s="130"/>
      <c r="F218" s="131"/>
      <c r="G218" s="132">
        <f t="shared" si="430"/>
        <v>0</v>
      </c>
      <c r="H218" s="130"/>
      <c r="I218" s="131"/>
      <c r="J218" s="132">
        <f t="shared" si="431"/>
        <v>0</v>
      </c>
      <c r="K218" s="130">
        <v>4</v>
      </c>
      <c r="L218" s="131">
        <v>5500</v>
      </c>
      <c r="M218" s="132">
        <f t="shared" si="432"/>
        <v>22000</v>
      </c>
      <c r="N218" s="130">
        <v>4</v>
      </c>
      <c r="O218" s="131">
        <v>6447.33</v>
      </c>
      <c r="P218" s="132">
        <f t="shared" si="433"/>
        <v>25789.32</v>
      </c>
      <c r="Q218" s="130"/>
      <c r="R218" s="131"/>
      <c r="S218" s="132">
        <f t="shared" si="434"/>
        <v>0</v>
      </c>
      <c r="T218" s="130"/>
      <c r="U218" s="131"/>
      <c r="V218" s="132"/>
      <c r="W218" s="133">
        <f t="shared" si="436"/>
        <v>22000</v>
      </c>
      <c r="X218" s="122">
        <f t="shared" si="437"/>
        <v>25789.32</v>
      </c>
      <c r="Y218" s="122">
        <f t="shared" si="395"/>
        <v>-3789.3199999999997</v>
      </c>
      <c r="Z218" s="554">
        <f t="shared" si="396"/>
        <v>-0.17224181818181816</v>
      </c>
      <c r="AA218" s="549" t="s">
        <v>978</v>
      </c>
      <c r="AB218" s="567"/>
      <c r="AC218" s="125"/>
      <c r="AD218" s="125"/>
      <c r="AE218" s="125"/>
      <c r="AF218" s="125"/>
      <c r="AG218" s="125"/>
    </row>
    <row r="219" spans="1:33" ht="48.75" customHeight="1">
      <c r="A219" s="347" t="s">
        <v>51</v>
      </c>
      <c r="B219" s="417" t="s">
        <v>478</v>
      </c>
      <c r="C219" s="356" t="s">
        <v>216</v>
      </c>
      <c r="D219" s="418" t="s">
        <v>53</v>
      </c>
      <c r="E219" s="330">
        <v>2</v>
      </c>
      <c r="F219" s="331">
        <v>25000</v>
      </c>
      <c r="G219" s="332">
        <f t="shared" si="430"/>
        <v>50000</v>
      </c>
      <c r="H219" s="330">
        <v>2</v>
      </c>
      <c r="I219" s="331">
        <v>25000</v>
      </c>
      <c r="J219" s="332">
        <f t="shared" si="431"/>
        <v>50000</v>
      </c>
      <c r="K219" s="130"/>
      <c r="L219" s="131"/>
      <c r="M219" s="132">
        <f t="shared" si="432"/>
        <v>0</v>
      </c>
      <c r="N219" s="130"/>
      <c r="O219" s="131"/>
      <c r="P219" s="132">
        <f t="shared" si="433"/>
        <v>0</v>
      </c>
      <c r="Q219" s="130"/>
      <c r="R219" s="131"/>
      <c r="S219" s="132">
        <f t="shared" si="434"/>
        <v>0</v>
      </c>
      <c r="T219" s="130"/>
      <c r="U219" s="131"/>
      <c r="V219" s="132"/>
      <c r="W219" s="133">
        <f t="shared" si="436"/>
        <v>50000</v>
      </c>
      <c r="X219" s="122">
        <f t="shared" si="437"/>
        <v>50000</v>
      </c>
      <c r="Y219" s="122">
        <f t="shared" si="395"/>
        <v>0</v>
      </c>
      <c r="Z219" s="554">
        <f t="shared" si="396"/>
        <v>0</v>
      </c>
      <c r="AA219" s="549"/>
      <c r="AB219" s="567"/>
      <c r="AC219" s="125"/>
      <c r="AD219" s="125"/>
      <c r="AE219" s="125"/>
      <c r="AF219" s="125"/>
      <c r="AG219" s="125"/>
    </row>
    <row r="220" spans="1:33" ht="31.5" customHeight="1">
      <c r="A220" s="261" t="s">
        <v>51</v>
      </c>
      <c r="B220" s="296" t="s">
        <v>479</v>
      </c>
      <c r="C220" s="202" t="s">
        <v>480</v>
      </c>
      <c r="D220" s="246" t="s">
        <v>73</v>
      </c>
      <c r="E220" s="130">
        <v>1</v>
      </c>
      <c r="F220" s="131">
        <v>45000</v>
      </c>
      <c r="G220" s="132">
        <f t="shared" si="430"/>
        <v>45000</v>
      </c>
      <c r="H220" s="130">
        <v>1</v>
      </c>
      <c r="I220" s="131">
        <v>45000</v>
      </c>
      <c r="J220" s="132">
        <f t="shared" si="431"/>
        <v>45000</v>
      </c>
      <c r="K220" s="130"/>
      <c r="L220" s="131"/>
      <c r="M220" s="132">
        <f t="shared" si="432"/>
        <v>0</v>
      </c>
      <c r="N220" s="130"/>
      <c r="O220" s="131"/>
      <c r="P220" s="132">
        <f t="shared" si="433"/>
        <v>0</v>
      </c>
      <c r="Q220" s="130"/>
      <c r="R220" s="131"/>
      <c r="S220" s="132">
        <f t="shared" si="434"/>
        <v>0</v>
      </c>
      <c r="T220" s="130"/>
      <c r="U220" s="131"/>
      <c r="V220" s="132"/>
      <c r="W220" s="133">
        <f t="shared" si="436"/>
        <v>45000</v>
      </c>
      <c r="X220" s="122">
        <f t="shared" si="437"/>
        <v>45000</v>
      </c>
      <c r="Y220" s="122">
        <f t="shared" si="395"/>
        <v>0</v>
      </c>
      <c r="Z220" s="554">
        <f t="shared" si="396"/>
        <v>0</v>
      </c>
      <c r="AA220" s="549"/>
      <c r="AB220" s="567"/>
      <c r="AC220" s="125"/>
      <c r="AD220" s="125"/>
      <c r="AE220" s="125"/>
      <c r="AF220" s="125"/>
      <c r="AG220" s="125"/>
    </row>
    <row r="221" spans="1:33" ht="39" customHeight="1">
      <c r="A221" s="261" t="s">
        <v>51</v>
      </c>
      <c r="B221" s="296" t="s">
        <v>481</v>
      </c>
      <c r="C221" s="202" t="s">
        <v>217</v>
      </c>
      <c r="D221" s="246" t="s">
        <v>73</v>
      </c>
      <c r="E221" s="130"/>
      <c r="F221" s="131"/>
      <c r="G221" s="132">
        <f t="shared" si="430"/>
        <v>0</v>
      </c>
      <c r="H221" s="130"/>
      <c r="I221" s="131"/>
      <c r="J221" s="132">
        <f t="shared" si="431"/>
        <v>0</v>
      </c>
      <c r="K221" s="130">
        <v>1</v>
      </c>
      <c r="L221" s="131">
        <v>1000</v>
      </c>
      <c r="M221" s="132">
        <f t="shared" si="432"/>
        <v>1000</v>
      </c>
      <c r="N221" s="130">
        <v>1</v>
      </c>
      <c r="O221" s="131">
        <v>2927.68</v>
      </c>
      <c r="P221" s="132">
        <f>N221*O221</f>
        <v>2927.68</v>
      </c>
      <c r="Q221" s="130"/>
      <c r="R221" s="131"/>
      <c r="S221" s="132">
        <f t="shared" si="434"/>
        <v>0</v>
      </c>
      <c r="T221" s="130"/>
      <c r="U221" s="131"/>
      <c r="V221" s="132"/>
      <c r="W221" s="133">
        <f t="shared" si="436"/>
        <v>1000</v>
      </c>
      <c r="X221" s="122">
        <f t="shared" si="437"/>
        <v>2927.68</v>
      </c>
      <c r="Y221" s="122">
        <f t="shared" si="395"/>
        <v>-1927.6799999999998</v>
      </c>
      <c r="Z221" s="554">
        <f t="shared" si="396"/>
        <v>-1.9276799999999998</v>
      </c>
      <c r="AA221" s="549"/>
      <c r="AB221" s="567"/>
      <c r="AC221" s="125"/>
      <c r="AD221" s="125"/>
      <c r="AE221" s="125"/>
      <c r="AF221" s="125"/>
      <c r="AG221" s="125"/>
    </row>
    <row r="222" spans="1:33" s="335" customFormat="1" ht="97.5" customHeight="1">
      <c r="A222" s="347" t="s">
        <v>51</v>
      </c>
      <c r="B222" s="417" t="s">
        <v>482</v>
      </c>
      <c r="C222" s="356" t="s">
        <v>218</v>
      </c>
      <c r="D222" s="418" t="s">
        <v>73</v>
      </c>
      <c r="E222" s="330">
        <v>1</v>
      </c>
      <c r="F222" s="331">
        <v>5000</v>
      </c>
      <c r="G222" s="332">
        <f t="shared" si="430"/>
        <v>5000</v>
      </c>
      <c r="H222" s="330">
        <v>1</v>
      </c>
      <c r="I222" s="331">
        <v>9231</v>
      </c>
      <c r="J222" s="332">
        <v>9231</v>
      </c>
      <c r="K222" s="330"/>
      <c r="L222" s="331"/>
      <c r="M222" s="332">
        <f t="shared" si="432"/>
        <v>0</v>
      </c>
      <c r="N222" s="330"/>
      <c r="O222" s="331"/>
      <c r="P222" s="332">
        <f t="shared" si="433"/>
        <v>0</v>
      </c>
      <c r="Q222" s="330"/>
      <c r="R222" s="331"/>
      <c r="S222" s="332"/>
      <c r="T222" s="330"/>
      <c r="U222" s="331"/>
      <c r="V222" s="332"/>
      <c r="W222" s="333">
        <f t="shared" si="436"/>
        <v>5000</v>
      </c>
      <c r="X222" s="354">
        <f t="shared" si="437"/>
        <v>9231</v>
      </c>
      <c r="Y222" s="354">
        <f t="shared" si="395"/>
        <v>-4231</v>
      </c>
      <c r="Z222" s="553">
        <f t="shared" si="396"/>
        <v>-0.84619999999999995</v>
      </c>
      <c r="AA222" s="547" t="s">
        <v>972</v>
      </c>
      <c r="AB222" s="438"/>
      <c r="AC222" s="334"/>
      <c r="AD222" s="334"/>
      <c r="AE222" s="334"/>
      <c r="AF222" s="334"/>
      <c r="AG222" s="334"/>
    </row>
    <row r="223" spans="1:33" s="335" customFormat="1" ht="33.75" customHeight="1">
      <c r="A223" s="347" t="s">
        <v>51</v>
      </c>
      <c r="B223" s="417" t="s">
        <v>487</v>
      </c>
      <c r="C223" s="356" t="s">
        <v>219</v>
      </c>
      <c r="D223" s="418" t="s">
        <v>73</v>
      </c>
      <c r="E223" s="330">
        <v>1</v>
      </c>
      <c r="F223" s="331">
        <v>5000</v>
      </c>
      <c r="G223" s="332">
        <f t="shared" si="430"/>
        <v>5000</v>
      </c>
      <c r="H223" s="330">
        <v>1</v>
      </c>
      <c r="I223" s="331">
        <v>5500</v>
      </c>
      <c r="J223" s="332">
        <f t="shared" si="431"/>
        <v>5500</v>
      </c>
      <c r="K223" s="330"/>
      <c r="L223" s="331"/>
      <c r="M223" s="332">
        <f t="shared" si="432"/>
        <v>0</v>
      </c>
      <c r="N223" s="330"/>
      <c r="O223" s="331"/>
      <c r="P223" s="332">
        <f t="shared" si="433"/>
        <v>0</v>
      </c>
      <c r="Q223" s="330"/>
      <c r="R223" s="331"/>
      <c r="S223" s="332"/>
      <c r="T223" s="330"/>
      <c r="U223" s="331"/>
      <c r="V223" s="332"/>
      <c r="W223" s="333">
        <f t="shared" si="436"/>
        <v>5000</v>
      </c>
      <c r="X223" s="354">
        <f t="shared" si="437"/>
        <v>5500</v>
      </c>
      <c r="Y223" s="354">
        <f t="shared" si="395"/>
        <v>-500</v>
      </c>
      <c r="Z223" s="553">
        <f t="shared" si="396"/>
        <v>-0.1</v>
      </c>
      <c r="AA223" s="547"/>
      <c r="AB223" s="438"/>
      <c r="AC223" s="334"/>
      <c r="AD223" s="334"/>
      <c r="AE223" s="334"/>
      <c r="AF223" s="334"/>
      <c r="AG223" s="334"/>
    </row>
    <row r="224" spans="1:33" s="335" customFormat="1" ht="60.75" customHeight="1">
      <c r="A224" s="347" t="s">
        <v>51</v>
      </c>
      <c r="B224" s="417" t="s">
        <v>489</v>
      </c>
      <c r="C224" s="356" t="s">
        <v>490</v>
      </c>
      <c r="D224" s="418" t="s">
        <v>73</v>
      </c>
      <c r="E224" s="330">
        <v>30</v>
      </c>
      <c r="F224" s="331">
        <v>700</v>
      </c>
      <c r="G224" s="332">
        <f t="shared" si="430"/>
        <v>21000</v>
      </c>
      <c r="H224" s="330">
        <v>30</v>
      </c>
      <c r="I224" s="331">
        <v>471.84</v>
      </c>
      <c r="J224" s="332">
        <f t="shared" si="431"/>
        <v>14155.199999999999</v>
      </c>
      <c r="K224" s="330"/>
      <c r="L224" s="331"/>
      <c r="M224" s="332">
        <f t="shared" si="432"/>
        <v>0</v>
      </c>
      <c r="N224" s="330"/>
      <c r="O224" s="331"/>
      <c r="P224" s="332">
        <f t="shared" si="433"/>
        <v>0</v>
      </c>
      <c r="Q224" s="330"/>
      <c r="R224" s="331"/>
      <c r="S224" s="332"/>
      <c r="T224" s="330"/>
      <c r="U224" s="331"/>
      <c r="V224" s="332"/>
      <c r="W224" s="333">
        <f t="shared" si="436"/>
        <v>21000</v>
      </c>
      <c r="X224" s="354">
        <f t="shared" si="437"/>
        <v>14155.199999999999</v>
      </c>
      <c r="Y224" s="354">
        <f t="shared" si="395"/>
        <v>6844.8000000000011</v>
      </c>
      <c r="Z224" s="553">
        <f t="shared" si="396"/>
        <v>0.3259428571428572</v>
      </c>
      <c r="AA224" s="547" t="s">
        <v>973</v>
      </c>
      <c r="AB224" s="438"/>
      <c r="AC224" s="334"/>
      <c r="AD224" s="334"/>
      <c r="AE224" s="334"/>
      <c r="AF224" s="334"/>
      <c r="AG224" s="334"/>
    </row>
    <row r="225" spans="1:33" s="335" customFormat="1" ht="63.75" customHeight="1">
      <c r="A225" s="347" t="s">
        <v>51</v>
      </c>
      <c r="B225" s="417" t="s">
        <v>491</v>
      </c>
      <c r="C225" s="349" t="s">
        <v>492</v>
      </c>
      <c r="D225" s="418" t="s">
        <v>73</v>
      </c>
      <c r="E225" s="330">
        <v>40</v>
      </c>
      <c r="F225" s="331">
        <v>500</v>
      </c>
      <c r="G225" s="332">
        <f t="shared" si="430"/>
        <v>20000</v>
      </c>
      <c r="H225" s="330">
        <v>30</v>
      </c>
      <c r="I225" s="331">
        <v>223.42</v>
      </c>
      <c r="J225" s="353">
        <v>14527.64</v>
      </c>
      <c r="K225" s="330"/>
      <c r="L225" s="331"/>
      <c r="M225" s="332">
        <f t="shared" si="432"/>
        <v>0</v>
      </c>
      <c r="N225" s="330"/>
      <c r="O225" s="331"/>
      <c r="P225" s="332">
        <f t="shared" si="433"/>
        <v>0</v>
      </c>
      <c r="Q225" s="330"/>
      <c r="R225" s="331"/>
      <c r="S225" s="332"/>
      <c r="T225" s="330"/>
      <c r="U225" s="331"/>
      <c r="V225" s="332"/>
      <c r="W225" s="333">
        <f t="shared" si="436"/>
        <v>20000</v>
      </c>
      <c r="X225" s="354">
        <f t="shared" si="437"/>
        <v>14527.64</v>
      </c>
      <c r="Y225" s="354">
        <f t="shared" si="395"/>
        <v>5472.3600000000006</v>
      </c>
      <c r="Z225" s="553">
        <f t="shared" si="396"/>
        <v>0.27361800000000003</v>
      </c>
      <c r="AA225" s="547" t="s">
        <v>973</v>
      </c>
      <c r="AB225" s="438"/>
      <c r="AC225" s="334"/>
      <c r="AD225" s="334"/>
      <c r="AE225" s="334"/>
      <c r="AF225" s="334"/>
      <c r="AG225" s="334"/>
    </row>
    <row r="226" spans="1:33" s="335" customFormat="1" ht="91.5" customHeight="1">
      <c r="A226" s="347" t="s">
        <v>51</v>
      </c>
      <c r="B226" s="417" t="s">
        <v>495</v>
      </c>
      <c r="C226" s="356" t="s">
        <v>220</v>
      </c>
      <c r="D226" s="418" t="s">
        <v>73</v>
      </c>
      <c r="E226" s="330">
        <v>1</v>
      </c>
      <c r="F226" s="331">
        <v>40000</v>
      </c>
      <c r="G226" s="332">
        <f t="shared" si="430"/>
        <v>40000</v>
      </c>
      <c r="H226" s="330">
        <v>1</v>
      </c>
      <c r="I226" s="331">
        <v>40000</v>
      </c>
      <c r="J226" s="332">
        <f>H226*I226</f>
        <v>40000</v>
      </c>
      <c r="K226" s="330">
        <v>1</v>
      </c>
      <c r="L226" s="331">
        <v>20000</v>
      </c>
      <c r="M226" s="332">
        <f t="shared" si="432"/>
        <v>20000</v>
      </c>
      <c r="N226" s="330">
        <v>1</v>
      </c>
      <c r="O226" s="331">
        <v>20000</v>
      </c>
      <c r="P226" s="332">
        <f t="shared" si="433"/>
        <v>20000</v>
      </c>
      <c r="Q226" s="330"/>
      <c r="R226" s="331"/>
      <c r="S226" s="332"/>
      <c r="T226" s="330"/>
      <c r="U226" s="331"/>
      <c r="V226" s="332"/>
      <c r="W226" s="333">
        <f t="shared" si="436"/>
        <v>60000</v>
      </c>
      <c r="X226" s="354">
        <f t="shared" si="437"/>
        <v>60000</v>
      </c>
      <c r="Y226" s="354">
        <f t="shared" si="395"/>
        <v>0</v>
      </c>
      <c r="Z226" s="553">
        <f t="shared" si="396"/>
        <v>0</v>
      </c>
      <c r="AA226" s="547"/>
      <c r="AB226" s="438"/>
      <c r="AC226" s="334"/>
      <c r="AD226" s="334"/>
      <c r="AE226" s="334"/>
      <c r="AF226" s="334"/>
      <c r="AG226" s="334"/>
    </row>
    <row r="227" spans="1:33" s="335" customFormat="1" ht="51" customHeight="1">
      <c r="A227" s="347" t="s">
        <v>51</v>
      </c>
      <c r="B227" s="417" t="s">
        <v>499</v>
      </c>
      <c r="C227" s="356" t="s">
        <v>669</v>
      </c>
      <c r="D227" s="418" t="s">
        <v>221</v>
      </c>
      <c r="E227" s="330">
        <v>40</v>
      </c>
      <c r="F227" s="331">
        <v>4000</v>
      </c>
      <c r="G227" s="332">
        <f t="shared" si="430"/>
        <v>160000</v>
      </c>
      <c r="H227" s="330">
        <v>1</v>
      </c>
      <c r="I227" s="331">
        <v>134359.62</v>
      </c>
      <c r="J227" s="332">
        <f>H227*I227</f>
        <v>134359.62</v>
      </c>
      <c r="K227" s="330"/>
      <c r="L227" s="331"/>
      <c r="M227" s="332">
        <f t="shared" si="432"/>
        <v>0</v>
      </c>
      <c r="N227" s="330"/>
      <c r="O227" s="331"/>
      <c r="P227" s="332">
        <f t="shared" si="433"/>
        <v>0</v>
      </c>
      <c r="Q227" s="330"/>
      <c r="R227" s="331"/>
      <c r="S227" s="332"/>
      <c r="T227" s="330"/>
      <c r="U227" s="331"/>
      <c r="V227" s="332"/>
      <c r="W227" s="333">
        <f t="shared" si="436"/>
        <v>160000</v>
      </c>
      <c r="X227" s="354">
        <f t="shared" si="437"/>
        <v>134359.62</v>
      </c>
      <c r="Y227" s="354">
        <f>W227-X227</f>
        <v>25640.380000000005</v>
      </c>
      <c r="Z227" s="553">
        <f t="shared" si="396"/>
        <v>0.16025237500000003</v>
      </c>
      <c r="AA227" s="547" t="s">
        <v>974</v>
      </c>
      <c r="AB227" s="438"/>
      <c r="AC227" s="334"/>
      <c r="AD227" s="334"/>
      <c r="AE227" s="334"/>
      <c r="AF227" s="334"/>
      <c r="AG227" s="334"/>
    </row>
    <row r="228" spans="1:33" ht="51.75" customHeight="1">
      <c r="A228" s="261" t="s">
        <v>51</v>
      </c>
      <c r="B228" s="296" t="s">
        <v>534</v>
      </c>
      <c r="C228" s="202" t="s">
        <v>222</v>
      </c>
      <c r="D228" s="246" t="s">
        <v>73</v>
      </c>
      <c r="E228" s="130"/>
      <c r="F228" s="131"/>
      <c r="G228" s="132">
        <f t="shared" si="430"/>
        <v>0</v>
      </c>
      <c r="H228" s="130"/>
      <c r="I228" s="131"/>
      <c r="J228" s="132">
        <f t="shared" ref="J228:J230" si="438">H228*I228</f>
        <v>0</v>
      </c>
      <c r="K228" s="130">
        <v>1</v>
      </c>
      <c r="L228" s="131">
        <v>15000</v>
      </c>
      <c r="M228" s="132">
        <f t="shared" si="432"/>
        <v>15000</v>
      </c>
      <c r="N228" s="130">
        <v>1</v>
      </c>
      <c r="O228" s="131">
        <v>15000</v>
      </c>
      <c r="P228" s="132">
        <f t="shared" si="433"/>
        <v>15000</v>
      </c>
      <c r="Q228" s="130"/>
      <c r="R228" s="131"/>
      <c r="S228" s="132"/>
      <c r="T228" s="130"/>
      <c r="U228" s="131"/>
      <c r="V228" s="132"/>
      <c r="W228" s="133">
        <f t="shared" si="436"/>
        <v>15000</v>
      </c>
      <c r="X228" s="122">
        <f t="shared" si="437"/>
        <v>15000</v>
      </c>
      <c r="Y228" s="122">
        <f t="shared" si="395"/>
        <v>0</v>
      </c>
      <c r="Z228" s="554">
        <f t="shared" si="396"/>
        <v>0</v>
      </c>
      <c r="AA228" s="549"/>
      <c r="AB228" s="567"/>
      <c r="AC228" s="125"/>
      <c r="AD228" s="125"/>
      <c r="AE228" s="125"/>
      <c r="AF228" s="125"/>
      <c r="AG228" s="125"/>
    </row>
    <row r="229" spans="1:33" s="335" customFormat="1" ht="70.5" customHeight="1">
      <c r="A229" s="347" t="s">
        <v>51</v>
      </c>
      <c r="B229" s="417" t="s">
        <v>535</v>
      </c>
      <c r="C229" s="349" t="s">
        <v>223</v>
      </c>
      <c r="D229" s="418" t="s">
        <v>73</v>
      </c>
      <c r="E229" s="330">
        <v>1</v>
      </c>
      <c r="F229" s="331">
        <v>18000</v>
      </c>
      <c r="G229" s="332">
        <f t="shared" si="430"/>
        <v>18000</v>
      </c>
      <c r="H229" s="330">
        <v>1</v>
      </c>
      <c r="I229" s="331">
        <v>29500</v>
      </c>
      <c r="J229" s="332">
        <f t="shared" si="438"/>
        <v>29500</v>
      </c>
      <c r="K229" s="330"/>
      <c r="L229" s="331"/>
      <c r="M229" s="332">
        <f t="shared" si="432"/>
        <v>0</v>
      </c>
      <c r="N229" s="330"/>
      <c r="O229" s="331"/>
      <c r="P229" s="332">
        <f t="shared" si="433"/>
        <v>0</v>
      </c>
      <c r="Q229" s="330"/>
      <c r="R229" s="331"/>
      <c r="S229" s="332"/>
      <c r="T229" s="330"/>
      <c r="U229" s="331"/>
      <c r="V229" s="332"/>
      <c r="W229" s="333">
        <f t="shared" si="436"/>
        <v>18000</v>
      </c>
      <c r="X229" s="354">
        <f t="shared" si="437"/>
        <v>29500</v>
      </c>
      <c r="Y229" s="354">
        <f>W229-X229</f>
        <v>-11500</v>
      </c>
      <c r="Z229" s="553">
        <f t="shared" si="396"/>
        <v>-0.63888888888888884</v>
      </c>
      <c r="AA229" s="550" t="s">
        <v>1059</v>
      </c>
      <c r="AB229" s="438"/>
      <c r="AC229" s="334"/>
      <c r="AD229" s="334"/>
      <c r="AE229" s="334"/>
      <c r="AF229" s="334"/>
      <c r="AG229" s="334"/>
    </row>
    <row r="230" spans="1:33" ht="44.25" customHeight="1">
      <c r="A230" s="261" t="s">
        <v>51</v>
      </c>
      <c r="B230" s="296" t="s">
        <v>536</v>
      </c>
      <c r="C230" s="202" t="s">
        <v>224</v>
      </c>
      <c r="D230" s="246" t="s">
        <v>73</v>
      </c>
      <c r="E230" s="130">
        <v>1</v>
      </c>
      <c r="F230" s="131">
        <v>40000</v>
      </c>
      <c r="G230" s="132">
        <f t="shared" si="430"/>
        <v>40000</v>
      </c>
      <c r="H230" s="130">
        <v>1</v>
      </c>
      <c r="I230" s="131">
        <v>40000</v>
      </c>
      <c r="J230" s="132">
        <f t="shared" si="438"/>
        <v>40000</v>
      </c>
      <c r="K230" s="130"/>
      <c r="L230" s="131"/>
      <c r="M230" s="132">
        <f t="shared" si="432"/>
        <v>0</v>
      </c>
      <c r="N230" s="130"/>
      <c r="O230" s="131"/>
      <c r="P230" s="132">
        <f t="shared" si="433"/>
        <v>0</v>
      </c>
      <c r="Q230" s="130"/>
      <c r="R230" s="131"/>
      <c r="S230" s="132"/>
      <c r="T230" s="130"/>
      <c r="U230" s="131"/>
      <c r="V230" s="132"/>
      <c r="W230" s="133">
        <f t="shared" si="436"/>
        <v>40000</v>
      </c>
      <c r="X230" s="122">
        <f t="shared" si="437"/>
        <v>40000</v>
      </c>
      <c r="Y230" s="122">
        <f t="shared" si="395"/>
        <v>0</v>
      </c>
      <c r="Z230" s="554">
        <f t="shared" si="396"/>
        <v>0</v>
      </c>
      <c r="AA230" s="549"/>
      <c r="AB230" s="567"/>
      <c r="AC230" s="125"/>
      <c r="AD230" s="125"/>
      <c r="AE230" s="125"/>
      <c r="AF230" s="125"/>
      <c r="AG230" s="125"/>
    </row>
    <row r="231" spans="1:33" s="335" customFormat="1" ht="48.75" customHeight="1" thickBot="1">
      <c r="A231" s="393" t="s">
        <v>51</v>
      </c>
      <c r="B231" s="473" t="s">
        <v>541</v>
      </c>
      <c r="C231" s="474" t="s">
        <v>225</v>
      </c>
      <c r="D231" s="475"/>
      <c r="E231" s="330">
        <v>160000</v>
      </c>
      <c r="F231" s="331">
        <v>0.22</v>
      </c>
      <c r="G231" s="332">
        <f t="shared" si="430"/>
        <v>35200</v>
      </c>
      <c r="H231" s="330">
        <v>134359.26</v>
      </c>
      <c r="I231" s="331">
        <v>0.22</v>
      </c>
      <c r="J231" s="332">
        <v>29558.98</v>
      </c>
      <c r="K231" s="330"/>
      <c r="L231" s="331">
        <v>0.22</v>
      </c>
      <c r="M231" s="332">
        <f t="shared" si="432"/>
        <v>0</v>
      </c>
      <c r="N231" s="330"/>
      <c r="O231" s="331">
        <v>0.22</v>
      </c>
      <c r="P231" s="332">
        <f t="shared" si="433"/>
        <v>0</v>
      </c>
      <c r="Q231" s="330"/>
      <c r="R231" s="331">
        <v>0.22</v>
      </c>
      <c r="S231" s="332">
        <f t="shared" si="434"/>
        <v>0</v>
      </c>
      <c r="T231" s="330"/>
      <c r="U231" s="331">
        <v>0.22</v>
      </c>
      <c r="V231" s="332">
        <f t="shared" si="435"/>
        <v>0</v>
      </c>
      <c r="W231" s="333">
        <f t="shared" si="436"/>
        <v>35200</v>
      </c>
      <c r="X231" s="354">
        <f t="shared" si="437"/>
        <v>29558.98</v>
      </c>
      <c r="Y231" s="354">
        <f t="shared" si="395"/>
        <v>5641.02</v>
      </c>
      <c r="Z231" s="553">
        <f t="shared" si="396"/>
        <v>0.16025625000000002</v>
      </c>
      <c r="AA231" s="547"/>
      <c r="AB231" s="575"/>
      <c r="AC231" s="476"/>
      <c r="AD231" s="476"/>
      <c r="AE231" s="476"/>
      <c r="AF231" s="476"/>
      <c r="AG231" s="476"/>
    </row>
    <row r="232" spans="1:33" ht="30" customHeight="1" thickBot="1">
      <c r="A232" s="297" t="s">
        <v>226</v>
      </c>
      <c r="B232" s="251"/>
      <c r="C232" s="298"/>
      <c r="D232" s="299"/>
      <c r="E232" s="177">
        <f>E206+E202+E197+E192</f>
        <v>42.5</v>
      </c>
      <c r="F232" s="189"/>
      <c r="G232" s="300">
        <f t="shared" ref="G232:Q232" si="439">G206+G202+G197+G192</f>
        <v>942500</v>
      </c>
      <c r="H232" s="300">
        <f t="shared" si="439"/>
        <v>42.5</v>
      </c>
      <c r="I232" s="300">
        <f t="shared" si="439"/>
        <v>0</v>
      </c>
      <c r="J232" s="300">
        <f t="shared" si="439"/>
        <v>850845.62899999996</v>
      </c>
      <c r="K232" s="300">
        <f t="shared" si="439"/>
        <v>35</v>
      </c>
      <c r="L232" s="300"/>
      <c r="M232" s="300">
        <f t="shared" si="439"/>
        <v>141600</v>
      </c>
      <c r="N232" s="300">
        <f t="shared" si="439"/>
        <v>35</v>
      </c>
      <c r="O232" s="300"/>
      <c r="P232" s="300">
        <f t="shared" si="439"/>
        <v>147317</v>
      </c>
      <c r="Q232" s="177">
        <f t="shared" si="439"/>
        <v>0</v>
      </c>
      <c r="R232" s="189"/>
      <c r="S232" s="300">
        <f t="shared" ref="S232:T232" si="440">S206+S202+S197+S192</f>
        <v>0</v>
      </c>
      <c r="T232" s="177">
        <f t="shared" si="440"/>
        <v>0</v>
      </c>
      <c r="U232" s="189"/>
      <c r="V232" s="300">
        <f>V206+V202+V197+V192</f>
        <v>0</v>
      </c>
      <c r="W232" s="230">
        <f t="shared" ref="W232:X232" si="441">W206+W192+W202+W197</f>
        <v>1084100</v>
      </c>
      <c r="X232" s="230">
        <f t="shared" si="441"/>
        <v>998162.62899999996</v>
      </c>
      <c r="Y232" s="230">
        <f t="shared" si="395"/>
        <v>85937.371000000043</v>
      </c>
      <c r="Z232" s="557">
        <f t="shared" si="396"/>
        <v>7.9270704732035832E-2</v>
      </c>
      <c r="AA232" s="577"/>
      <c r="AB232" s="569"/>
      <c r="AC232" s="76"/>
      <c r="AD232" s="76"/>
      <c r="AE232" s="76"/>
      <c r="AF232" s="76"/>
      <c r="AG232" s="76"/>
    </row>
    <row r="233" spans="1:33" ht="30" customHeight="1" thickBot="1">
      <c r="A233" s="301" t="s">
        <v>670</v>
      </c>
      <c r="B233" s="302"/>
      <c r="C233" s="303"/>
      <c r="D233" s="304"/>
      <c r="E233" s="305"/>
      <c r="F233" s="306"/>
      <c r="G233" s="307">
        <f>G39+G53+G62+G99+G113+G127+G148+G156+G173+G180+G184+G190+G232</f>
        <v>2443886</v>
      </c>
      <c r="H233" s="305"/>
      <c r="I233" s="306"/>
      <c r="J233" s="307">
        <f>J39+J53+J62+J99+J113+J127+J148+J156+J173+J180+J184+J190+J232</f>
        <v>2345106.6289999997</v>
      </c>
      <c r="K233" s="305"/>
      <c r="L233" s="306"/>
      <c r="M233" s="307">
        <f>M39+M53+M62+M99+M113+M127+M148+M156+M173+M180+M184+M190+M232</f>
        <v>344950</v>
      </c>
      <c r="N233" s="305"/>
      <c r="O233" s="306"/>
      <c r="P233" s="307">
        <f>P39+P53+P62+P99+P113+P127+P148+P156+P173+P180+P184+P190+P232</f>
        <v>344950</v>
      </c>
      <c r="Q233" s="305"/>
      <c r="R233" s="306"/>
      <c r="S233" s="307">
        <f>S39+S53+S62+S99+S113+S127+S148+S156+S173+S180+S184+S190+S232</f>
        <v>0</v>
      </c>
      <c r="T233" s="305"/>
      <c r="U233" s="306"/>
      <c r="V233" s="307">
        <f>V39+V53+V62+V99+V113+V127+V148+V156+V173+V180+V184+V190+V232</f>
        <v>0</v>
      </c>
      <c r="W233" s="307">
        <f>W39+W53+W62+W99+W113+W127+W148+W156+W173+W180+W184+W190+W232</f>
        <v>2788836</v>
      </c>
      <c r="X233" s="307">
        <f>X39+X53+X62+X99+X113+X127+X148+X156+X173+X180+X184+X190+X232</f>
        <v>2690056.6289999997</v>
      </c>
      <c r="Y233" s="307">
        <f>Y39+Y53+Y62+Y99+Y113+Y127+Y148+Y156+Y173+Y180+Y184+Y190+Y232</f>
        <v>98779.371000000043</v>
      </c>
      <c r="Z233" s="564">
        <f t="shared" si="396"/>
        <v>3.541956966992682E-2</v>
      </c>
      <c r="AA233" s="581"/>
      <c r="AB233" s="569"/>
      <c r="AC233" s="76"/>
      <c r="AD233" s="76"/>
      <c r="AE233" s="76"/>
      <c r="AF233" s="76"/>
      <c r="AG233" s="76"/>
    </row>
    <row r="234" spans="1:33" ht="15" customHeight="1" thickBot="1">
      <c r="A234" s="809"/>
      <c r="B234" s="781"/>
      <c r="C234" s="781"/>
      <c r="D234" s="73"/>
      <c r="E234" s="81"/>
      <c r="F234" s="81"/>
      <c r="G234" s="81"/>
      <c r="H234" s="81"/>
      <c r="I234" s="81"/>
      <c r="J234" s="81"/>
      <c r="K234" s="81"/>
      <c r="L234" s="81"/>
      <c r="M234" s="81"/>
      <c r="N234" s="81"/>
      <c r="O234" s="81"/>
      <c r="P234" s="81"/>
      <c r="Q234" s="81"/>
      <c r="R234" s="81"/>
      <c r="S234" s="81"/>
      <c r="T234" s="81"/>
      <c r="U234" s="81"/>
      <c r="V234" s="81"/>
      <c r="W234" s="308"/>
      <c r="X234" s="308"/>
      <c r="Y234" s="308"/>
      <c r="Z234" s="565"/>
      <c r="AA234" s="549"/>
      <c r="AB234" s="569"/>
      <c r="AC234" s="76"/>
      <c r="AD234" s="76"/>
      <c r="AE234" s="76"/>
      <c r="AF234" s="76"/>
      <c r="AG234" s="76"/>
    </row>
    <row r="235" spans="1:33" ht="30" customHeight="1" thickBot="1">
      <c r="A235" s="796" t="s">
        <v>227</v>
      </c>
      <c r="B235" s="797"/>
      <c r="C235" s="797"/>
      <c r="D235" s="309"/>
      <c r="E235" s="305"/>
      <c r="F235" s="306"/>
      <c r="G235" s="310">
        <f>[1]Фінансування!C27-'[1]Кошторис  витрат'!G233</f>
        <v>0</v>
      </c>
      <c r="H235" s="305"/>
      <c r="I235" s="306"/>
      <c r="J235" s="310">
        <f>[1]Фінансування!C28-'[1]Кошторис  витрат'!J233</f>
        <v>0</v>
      </c>
      <c r="K235" s="305"/>
      <c r="L235" s="306"/>
      <c r="M235" s="310">
        <f>M233-Фінансування!H27</f>
        <v>0</v>
      </c>
      <c r="N235" s="305"/>
      <c r="O235" s="306"/>
      <c r="P235" s="310">
        <f>P233-Фінансування!H28</f>
        <v>0</v>
      </c>
      <c r="Q235" s="305"/>
      <c r="R235" s="306"/>
      <c r="S235" s="310">
        <f>[1]Фінансування!L27-'[1]Кошторис  витрат'!S233</f>
        <v>0</v>
      </c>
      <c r="T235" s="305"/>
      <c r="U235" s="306"/>
      <c r="V235" s="310">
        <f>[1]Фінансування!L28-'[1]Кошторис  витрат'!V233</f>
        <v>0</v>
      </c>
      <c r="W235" s="311">
        <f>W233-Фінансування!N27</f>
        <v>0</v>
      </c>
      <c r="X235" s="311">
        <f>X233-Фінансування!N28</f>
        <v>0</v>
      </c>
      <c r="Y235" s="311"/>
      <c r="Z235" s="566"/>
      <c r="AA235" s="581"/>
      <c r="AB235" s="569"/>
      <c r="AC235" s="76"/>
      <c r="AD235" s="76"/>
      <c r="AE235" s="76"/>
      <c r="AF235" s="76"/>
      <c r="AG235" s="76"/>
    </row>
    <row r="236" spans="1:33" ht="15.75" customHeight="1">
      <c r="A236" s="70"/>
      <c r="B236" s="312"/>
      <c r="C236" s="69"/>
      <c r="D236" s="313"/>
      <c r="E236" s="67"/>
      <c r="F236" s="67"/>
      <c r="G236" s="67"/>
      <c r="H236" s="67"/>
      <c r="I236" s="314"/>
      <c r="J236" s="67"/>
      <c r="K236" s="67"/>
      <c r="L236" s="67"/>
      <c r="M236" s="67"/>
      <c r="N236" s="67"/>
      <c r="O236" s="67"/>
      <c r="P236" s="67"/>
      <c r="Q236" s="67"/>
      <c r="R236" s="67"/>
      <c r="S236" s="67"/>
      <c r="T236" s="67"/>
      <c r="U236" s="67"/>
      <c r="V236" s="67"/>
      <c r="W236" s="68"/>
      <c r="X236" s="68"/>
      <c r="Y236" s="68"/>
      <c r="Z236" s="68"/>
      <c r="AA236" s="539"/>
      <c r="AB236" s="70"/>
      <c r="AC236" s="70"/>
      <c r="AD236" s="70"/>
      <c r="AE236" s="70"/>
      <c r="AF236" s="70"/>
      <c r="AG236" s="70"/>
    </row>
    <row r="237" spans="1:33" ht="15.75" customHeight="1">
      <c r="A237" s="70"/>
      <c r="B237" s="312"/>
      <c r="C237" s="69"/>
      <c r="D237" s="313"/>
      <c r="E237" s="67"/>
      <c r="F237" s="314"/>
      <c r="G237" s="67"/>
      <c r="H237" s="67"/>
      <c r="I237" s="67"/>
      <c r="J237" s="67"/>
      <c r="K237" s="67"/>
      <c r="L237" s="67"/>
      <c r="M237" s="67"/>
      <c r="N237" s="67"/>
      <c r="O237" s="67"/>
      <c r="P237" s="67"/>
      <c r="Q237" s="67"/>
      <c r="R237" s="67"/>
      <c r="S237" s="67"/>
      <c r="T237" s="67"/>
      <c r="U237" s="67"/>
      <c r="V237" s="67"/>
      <c r="W237" s="68"/>
      <c r="X237" s="68"/>
      <c r="Y237" s="68"/>
      <c r="Z237" s="68"/>
      <c r="AA237" s="539"/>
      <c r="AB237" s="70"/>
      <c r="AC237" s="70"/>
      <c r="AD237" s="70"/>
      <c r="AE237" s="70"/>
      <c r="AF237" s="70"/>
      <c r="AG237" s="70"/>
    </row>
    <row r="238" spans="1:33" ht="15.75" customHeight="1">
      <c r="A238" s="70"/>
      <c r="B238" s="312"/>
      <c r="C238" s="69"/>
      <c r="D238" s="313"/>
      <c r="E238" s="67"/>
      <c r="F238" s="67"/>
      <c r="G238" s="67"/>
      <c r="H238" s="67"/>
      <c r="I238" s="67"/>
      <c r="J238" s="67"/>
      <c r="K238" s="67"/>
      <c r="L238" s="67"/>
      <c r="M238" s="67"/>
      <c r="N238" s="67"/>
      <c r="O238" s="67"/>
      <c r="P238" s="67"/>
      <c r="Q238" s="67"/>
      <c r="R238" s="67"/>
      <c r="S238" s="67"/>
      <c r="T238" s="67"/>
      <c r="U238" s="67"/>
      <c r="V238" s="67"/>
      <c r="W238" s="68"/>
      <c r="X238" s="68"/>
      <c r="Y238" s="68"/>
      <c r="Z238" s="68"/>
      <c r="AA238" s="539"/>
      <c r="AB238" s="70"/>
      <c r="AC238" s="70"/>
      <c r="AD238" s="70"/>
      <c r="AE238" s="70"/>
      <c r="AF238" s="70"/>
      <c r="AG238" s="70"/>
    </row>
    <row r="239" spans="1:33" ht="15.75" customHeight="1">
      <c r="A239" s="551"/>
      <c r="B239" s="315"/>
      <c r="C239" s="552" t="s">
        <v>1051</v>
      </c>
      <c r="D239" s="313"/>
      <c r="E239" s="316"/>
      <c r="F239" s="316"/>
      <c r="G239" s="67"/>
      <c r="H239" s="794" t="s">
        <v>1052</v>
      </c>
      <c r="I239" s="795"/>
      <c r="J239" s="795"/>
      <c r="K239" s="317"/>
      <c r="L239" s="69"/>
      <c r="M239" s="67"/>
      <c r="N239" s="317"/>
      <c r="O239" s="69"/>
      <c r="P239" s="67"/>
      <c r="Q239" s="67"/>
      <c r="R239" s="67"/>
      <c r="S239" s="67"/>
      <c r="T239" s="67"/>
      <c r="U239" s="67"/>
      <c r="V239" s="67"/>
      <c r="W239" s="68"/>
      <c r="X239" s="68"/>
      <c r="Y239" s="68"/>
      <c r="Z239" s="68"/>
      <c r="AA239" s="539"/>
      <c r="AB239" s="70"/>
      <c r="AC239" s="69"/>
      <c r="AD239" s="70"/>
      <c r="AE239" s="70"/>
      <c r="AF239" s="70"/>
      <c r="AG239" s="70"/>
    </row>
    <row r="240" spans="1:33" ht="15.75" customHeight="1">
      <c r="A240" s="318"/>
      <c r="B240" s="319"/>
      <c r="C240" s="320" t="s">
        <v>228</v>
      </c>
      <c r="D240" s="321"/>
      <c r="E240" s="322" t="s">
        <v>229</v>
      </c>
      <c r="F240" s="322"/>
      <c r="G240" s="323"/>
      <c r="H240" s="324"/>
      <c r="I240" s="325" t="s">
        <v>230</v>
      </c>
      <c r="J240" s="323"/>
      <c r="K240" s="324"/>
      <c r="L240" s="325"/>
      <c r="M240" s="323"/>
      <c r="N240" s="324"/>
      <c r="O240" s="325"/>
      <c r="P240" s="323"/>
      <c r="Q240" s="323"/>
      <c r="R240" s="323"/>
      <c r="S240" s="323"/>
      <c r="T240" s="323"/>
      <c r="U240" s="323"/>
      <c r="V240" s="323"/>
      <c r="W240" s="326"/>
      <c r="X240" s="326"/>
      <c r="Y240" s="326"/>
      <c r="Z240" s="326"/>
      <c r="AA240" s="545"/>
      <c r="AB240" s="328"/>
      <c r="AC240" s="327"/>
      <c r="AD240" s="328"/>
      <c r="AE240" s="328"/>
      <c r="AF240" s="328"/>
      <c r="AG240" s="328"/>
    </row>
    <row r="241" spans="1:33" ht="15.75" customHeight="1">
      <c r="A241" s="70"/>
      <c r="B241" s="312"/>
      <c r="C241" s="69"/>
      <c r="D241" s="313"/>
      <c r="E241" s="67"/>
      <c r="F241" s="67"/>
      <c r="G241" s="67"/>
      <c r="H241" s="67"/>
      <c r="I241" s="67"/>
      <c r="J241" s="67"/>
      <c r="K241" s="67"/>
      <c r="L241" s="67"/>
      <c r="M241" s="67"/>
      <c r="N241" s="67"/>
      <c r="O241" s="67"/>
      <c r="P241" s="67"/>
      <c r="Q241" s="67"/>
      <c r="R241" s="67"/>
      <c r="S241" s="67"/>
      <c r="T241" s="67"/>
      <c r="U241" s="67"/>
      <c r="V241" s="67"/>
      <c r="W241" s="68"/>
      <c r="X241" s="68"/>
      <c r="Y241" s="68"/>
      <c r="Z241" s="68"/>
      <c r="AA241" s="539"/>
      <c r="AB241" s="70"/>
      <c r="AC241" s="70"/>
      <c r="AD241" s="70"/>
      <c r="AE241" s="70"/>
      <c r="AF241" s="70"/>
      <c r="AG241" s="70"/>
    </row>
    <row r="242" spans="1:33" ht="15.75" customHeight="1">
      <c r="A242" s="70"/>
      <c r="B242" s="312"/>
      <c r="C242" s="69"/>
      <c r="D242" s="313"/>
      <c r="E242" s="67"/>
      <c r="F242" s="67"/>
      <c r="G242" s="67"/>
      <c r="H242" s="67"/>
      <c r="I242" s="67"/>
      <c r="J242" s="67"/>
      <c r="K242" s="67"/>
      <c r="L242" s="67"/>
      <c r="M242" s="67"/>
      <c r="N242" s="67"/>
      <c r="O242" s="67"/>
      <c r="P242" s="67"/>
      <c r="Q242" s="67"/>
      <c r="R242" s="67"/>
      <c r="S242" s="67"/>
      <c r="T242" s="67"/>
      <c r="U242" s="67"/>
      <c r="V242" s="67"/>
      <c r="W242" s="68"/>
      <c r="X242" s="68"/>
      <c r="Y242" s="68"/>
      <c r="Z242" s="68"/>
      <c r="AA242" s="539"/>
      <c r="AB242" s="70"/>
      <c r="AC242" s="70"/>
      <c r="AD242" s="70"/>
      <c r="AE242" s="70"/>
      <c r="AF242" s="70"/>
      <c r="AG242" s="70"/>
    </row>
    <row r="243" spans="1:33" ht="15.75" customHeight="1">
      <c r="A243" s="70"/>
      <c r="B243" s="312"/>
      <c r="C243" s="69"/>
      <c r="D243" s="313"/>
      <c r="E243" s="67"/>
      <c r="F243" s="67"/>
      <c r="G243" s="67"/>
      <c r="H243" s="477"/>
      <c r="I243" s="67"/>
      <c r="J243" s="67"/>
      <c r="K243" s="67"/>
      <c r="L243" s="314"/>
      <c r="M243" s="67"/>
      <c r="N243" s="67"/>
      <c r="O243" s="67"/>
      <c r="P243" s="67"/>
      <c r="Q243" s="67"/>
      <c r="R243" s="67"/>
      <c r="S243" s="67"/>
      <c r="T243" s="67"/>
      <c r="U243" s="67"/>
      <c r="V243" s="67"/>
      <c r="W243" s="68"/>
      <c r="X243" s="68"/>
      <c r="Y243" s="68"/>
      <c r="Z243" s="68"/>
      <c r="AA243" s="539"/>
      <c r="AB243" s="70"/>
      <c r="AC243" s="70"/>
      <c r="AD243" s="70"/>
      <c r="AE243" s="70"/>
      <c r="AF243" s="70"/>
      <c r="AG243" s="70"/>
    </row>
    <row r="244" spans="1:33" ht="15.75" customHeight="1">
      <c r="A244" s="70"/>
      <c r="B244" s="312"/>
      <c r="C244" s="69"/>
      <c r="D244" s="313"/>
      <c r="E244" s="67"/>
      <c r="F244" s="67"/>
      <c r="G244" s="67"/>
      <c r="H244" s="67"/>
      <c r="I244" s="67"/>
      <c r="J244" s="67"/>
      <c r="K244" s="67"/>
      <c r="L244" s="67"/>
      <c r="M244" s="67"/>
      <c r="N244" s="67"/>
      <c r="O244" s="67"/>
      <c r="P244" s="67"/>
      <c r="Q244" s="67"/>
      <c r="R244" s="67"/>
      <c r="S244" s="67"/>
      <c r="T244" s="67"/>
      <c r="U244" s="67"/>
      <c r="V244" s="67"/>
      <c r="W244" s="329"/>
      <c r="X244" s="329"/>
      <c r="Y244" s="329"/>
      <c r="Z244" s="329"/>
      <c r="AA244" s="539"/>
      <c r="AB244" s="70"/>
      <c r="AC244" s="70"/>
      <c r="AD244" s="70"/>
      <c r="AE244" s="70"/>
      <c r="AF244" s="70"/>
      <c r="AG244" s="70"/>
    </row>
    <row r="245" spans="1:33" ht="15.75" customHeight="1">
      <c r="A245" s="70"/>
      <c r="B245" s="312"/>
      <c r="C245" s="69"/>
      <c r="D245" s="313"/>
      <c r="E245" s="67"/>
      <c r="F245" s="67"/>
      <c r="G245" s="67"/>
      <c r="H245" s="67"/>
      <c r="I245" s="67"/>
      <c r="J245" s="67"/>
      <c r="K245" s="67"/>
      <c r="L245" s="67"/>
      <c r="M245" s="67"/>
      <c r="N245" s="67"/>
      <c r="O245" s="67"/>
      <c r="P245" s="67"/>
      <c r="Q245" s="67"/>
      <c r="R245" s="67"/>
      <c r="S245" s="67"/>
      <c r="T245" s="67"/>
      <c r="U245" s="67"/>
      <c r="V245" s="67"/>
      <c r="W245" s="329"/>
      <c r="X245" s="329"/>
      <c r="Y245" s="329"/>
      <c r="Z245" s="329"/>
      <c r="AA245" s="539"/>
      <c r="AB245" s="70"/>
      <c r="AC245" s="70"/>
      <c r="AD245" s="70"/>
      <c r="AE245" s="70"/>
      <c r="AF245" s="70"/>
      <c r="AG245" s="70"/>
    </row>
    <row r="246" spans="1:33" ht="15.75" customHeight="1">
      <c r="A246" s="70"/>
      <c r="B246" s="312"/>
      <c r="C246" s="69"/>
      <c r="D246" s="313"/>
      <c r="E246" s="67"/>
      <c r="F246" s="67"/>
      <c r="G246" s="67"/>
      <c r="H246" s="67"/>
      <c r="I246" s="67"/>
      <c r="J246" s="67"/>
      <c r="K246" s="67"/>
      <c r="L246" s="67"/>
      <c r="M246" s="67"/>
      <c r="N246" s="67"/>
      <c r="O246" s="67"/>
      <c r="P246" s="67"/>
      <c r="Q246" s="67"/>
      <c r="R246" s="67"/>
      <c r="S246" s="67"/>
      <c r="T246" s="67"/>
      <c r="U246" s="67"/>
      <c r="V246" s="67"/>
      <c r="W246" s="329"/>
      <c r="X246" s="329"/>
      <c r="Y246" s="329"/>
      <c r="Z246" s="329"/>
      <c r="AA246" s="539"/>
      <c r="AB246" s="70"/>
      <c r="AC246" s="70"/>
      <c r="AD246" s="70"/>
      <c r="AE246" s="70"/>
      <c r="AF246" s="70"/>
      <c r="AG246" s="70"/>
    </row>
    <row r="247" spans="1:33" ht="15.75" customHeight="1">
      <c r="A247" s="70"/>
      <c r="B247" s="312"/>
      <c r="C247" s="69"/>
      <c r="D247" s="313"/>
      <c r="E247" s="67"/>
      <c r="F247" s="67"/>
      <c r="G247" s="67"/>
      <c r="H247" s="67"/>
      <c r="I247" s="67"/>
      <c r="J247" s="67"/>
      <c r="K247" s="67"/>
      <c r="L247" s="67"/>
      <c r="M247" s="67"/>
      <c r="N247" s="67"/>
      <c r="O247" s="67"/>
      <c r="P247" s="67"/>
      <c r="Q247" s="67"/>
      <c r="R247" s="67"/>
      <c r="S247" s="67"/>
      <c r="T247" s="67"/>
      <c r="U247" s="67"/>
      <c r="V247" s="67"/>
      <c r="W247" s="329"/>
      <c r="X247" s="329"/>
      <c r="Y247" s="329"/>
      <c r="Z247" s="329"/>
      <c r="AA247" s="539"/>
      <c r="AB247" s="70"/>
      <c r="AC247" s="70"/>
      <c r="AD247" s="70"/>
      <c r="AE247" s="70"/>
      <c r="AF247" s="70"/>
      <c r="AG247" s="70"/>
    </row>
    <row r="248" spans="1:33" ht="15.75" customHeight="1">
      <c r="A248" s="70"/>
      <c r="B248" s="312"/>
      <c r="C248" s="69"/>
      <c r="D248" s="313"/>
      <c r="E248" s="67"/>
      <c r="F248" s="67"/>
      <c r="G248" s="67"/>
      <c r="H248" s="67"/>
      <c r="I248" s="67"/>
      <c r="J248" s="67"/>
      <c r="K248" s="67"/>
      <c r="L248" s="67"/>
      <c r="M248" s="67"/>
      <c r="N248" s="67"/>
      <c r="O248" s="67"/>
      <c r="P248" s="67"/>
      <c r="Q248" s="67"/>
      <c r="R248" s="67"/>
      <c r="S248" s="67"/>
      <c r="T248" s="67"/>
      <c r="U248" s="67"/>
      <c r="V248" s="67"/>
      <c r="W248" s="329"/>
      <c r="X248" s="329"/>
      <c r="Y248" s="329"/>
      <c r="Z248" s="329"/>
      <c r="AA248" s="539"/>
      <c r="AB248" s="70"/>
      <c r="AC248" s="70"/>
      <c r="AD248" s="70"/>
      <c r="AE248" s="70"/>
      <c r="AF248" s="70"/>
      <c r="AG248" s="70"/>
    </row>
    <row r="249" spans="1:33" ht="15.75" customHeight="1">
      <c r="A249" s="70"/>
      <c r="B249" s="312"/>
      <c r="C249" s="69"/>
      <c r="D249" s="313"/>
      <c r="E249" s="67"/>
      <c r="F249" s="67"/>
      <c r="G249" s="67"/>
      <c r="H249" s="67"/>
      <c r="I249" s="67"/>
      <c r="J249" s="67"/>
      <c r="K249" s="67"/>
      <c r="L249" s="67"/>
      <c r="M249" s="67"/>
      <c r="N249" s="67"/>
      <c r="O249" s="67"/>
      <c r="P249" s="67"/>
      <c r="Q249" s="67"/>
      <c r="R249" s="67"/>
      <c r="S249" s="67"/>
      <c r="T249" s="67"/>
      <c r="U249" s="67"/>
      <c r="V249" s="67"/>
      <c r="W249" s="329"/>
      <c r="X249" s="329"/>
      <c r="Y249" s="329"/>
      <c r="Z249" s="329"/>
      <c r="AA249" s="539"/>
      <c r="AB249" s="70"/>
      <c r="AC249" s="70"/>
      <c r="AD249" s="70"/>
      <c r="AE249" s="70"/>
      <c r="AF249" s="70"/>
      <c r="AG249" s="70"/>
    </row>
    <row r="250" spans="1:33" ht="15.75" customHeight="1">
      <c r="A250" s="70"/>
      <c r="B250" s="312"/>
      <c r="C250" s="69"/>
      <c r="D250" s="313"/>
      <c r="E250" s="67"/>
      <c r="F250" s="67"/>
      <c r="G250" s="67"/>
      <c r="H250" s="67"/>
      <c r="I250" s="67"/>
      <c r="J250" s="67"/>
      <c r="K250" s="67"/>
      <c r="L250" s="67"/>
      <c r="M250" s="67"/>
      <c r="N250" s="67"/>
      <c r="O250" s="67"/>
      <c r="P250" s="67"/>
      <c r="Q250" s="67"/>
      <c r="R250" s="67"/>
      <c r="S250" s="67"/>
      <c r="T250" s="67"/>
      <c r="U250" s="67"/>
      <c r="V250" s="67"/>
      <c r="W250" s="329"/>
      <c r="X250" s="329"/>
      <c r="Y250" s="329"/>
      <c r="Z250" s="329"/>
      <c r="AA250" s="539"/>
      <c r="AB250" s="70"/>
      <c r="AC250" s="70"/>
      <c r="AD250" s="70"/>
      <c r="AE250" s="70"/>
      <c r="AF250" s="70"/>
      <c r="AG250" s="70"/>
    </row>
    <row r="251" spans="1:33" ht="15.75" customHeight="1">
      <c r="A251" s="70"/>
      <c r="B251" s="312"/>
      <c r="C251" s="69"/>
      <c r="D251" s="313"/>
      <c r="E251" s="67"/>
      <c r="F251" s="67"/>
      <c r="G251" s="67"/>
      <c r="H251" s="67"/>
      <c r="I251" s="67"/>
      <c r="J251" s="67"/>
      <c r="K251" s="67"/>
      <c r="L251" s="67"/>
      <c r="M251" s="67"/>
      <c r="N251" s="67"/>
      <c r="O251" s="67"/>
      <c r="P251" s="67"/>
      <c r="Q251" s="67"/>
      <c r="R251" s="67"/>
      <c r="S251" s="67"/>
      <c r="T251" s="67"/>
      <c r="U251" s="67"/>
      <c r="V251" s="67"/>
      <c r="W251" s="329"/>
      <c r="X251" s="329"/>
      <c r="Y251" s="329"/>
      <c r="Z251" s="329"/>
      <c r="AA251" s="539"/>
      <c r="AB251" s="70"/>
      <c r="AC251" s="70"/>
      <c r="AD251" s="70"/>
      <c r="AE251" s="70"/>
      <c r="AF251" s="70"/>
      <c r="AG251" s="70"/>
    </row>
    <row r="252" spans="1:33" ht="15.75" customHeight="1">
      <c r="A252" s="70"/>
      <c r="B252" s="312"/>
      <c r="C252" s="69"/>
      <c r="D252" s="313"/>
      <c r="E252" s="67"/>
      <c r="F252" s="67"/>
      <c r="G252" s="67"/>
      <c r="H252" s="67"/>
      <c r="I252" s="67"/>
      <c r="J252" s="67"/>
      <c r="K252" s="67"/>
      <c r="L252" s="67"/>
      <c r="M252" s="67"/>
      <c r="N252" s="67"/>
      <c r="O252" s="67"/>
      <c r="P252" s="67"/>
      <c r="Q252" s="67"/>
      <c r="R252" s="67"/>
      <c r="S252" s="67"/>
      <c r="T252" s="67"/>
      <c r="U252" s="67"/>
      <c r="V252" s="67"/>
      <c r="W252" s="329"/>
      <c r="X252" s="329"/>
      <c r="Y252" s="329"/>
      <c r="Z252" s="329"/>
      <c r="AA252" s="539"/>
      <c r="AB252" s="70"/>
      <c r="AC252" s="70"/>
      <c r="AD252" s="70"/>
      <c r="AE252" s="70"/>
      <c r="AF252" s="70"/>
      <c r="AG252" s="70"/>
    </row>
    <row r="253" spans="1:33" ht="15.75" customHeight="1">
      <c r="A253" s="70"/>
      <c r="B253" s="312"/>
      <c r="C253" s="69"/>
      <c r="D253" s="313"/>
      <c r="E253" s="67"/>
      <c r="F253" s="67"/>
      <c r="G253" s="67"/>
      <c r="H253" s="67"/>
      <c r="I253" s="67"/>
      <c r="J253" s="67"/>
      <c r="K253" s="67"/>
      <c r="L253" s="67"/>
      <c r="M253" s="67"/>
      <c r="N253" s="67"/>
      <c r="O253" s="67"/>
      <c r="P253" s="67"/>
      <c r="Q253" s="67"/>
      <c r="R253" s="67"/>
      <c r="S253" s="67"/>
      <c r="T253" s="67"/>
      <c r="U253" s="67"/>
      <c r="V253" s="67"/>
      <c r="W253" s="329"/>
      <c r="X253" s="329"/>
      <c r="Y253" s="329"/>
      <c r="Z253" s="329"/>
      <c r="AA253" s="539"/>
      <c r="AB253" s="70"/>
      <c r="AC253" s="70"/>
      <c r="AD253" s="70"/>
      <c r="AE253" s="70"/>
      <c r="AF253" s="70"/>
      <c r="AG253" s="70"/>
    </row>
    <row r="254" spans="1:33" ht="15.75" customHeight="1">
      <c r="A254" s="70"/>
      <c r="B254" s="312"/>
      <c r="C254" s="69"/>
      <c r="D254" s="313"/>
      <c r="E254" s="67"/>
      <c r="F254" s="67"/>
      <c r="G254" s="67"/>
      <c r="H254" s="67"/>
      <c r="I254" s="67"/>
      <c r="J254" s="67"/>
      <c r="K254" s="67"/>
      <c r="L254" s="67"/>
      <c r="M254" s="67"/>
      <c r="N254" s="67"/>
      <c r="O254" s="67"/>
      <c r="P254" s="67"/>
      <c r="Q254" s="67"/>
      <c r="R254" s="67"/>
      <c r="S254" s="67"/>
      <c r="T254" s="67"/>
      <c r="U254" s="67"/>
      <c r="V254" s="67"/>
      <c r="W254" s="329"/>
      <c r="X254" s="329"/>
      <c r="Y254" s="329"/>
      <c r="Z254" s="329"/>
      <c r="AA254" s="539"/>
      <c r="AB254" s="70"/>
      <c r="AC254" s="70"/>
      <c r="AD254" s="70"/>
      <c r="AE254" s="70"/>
      <c r="AF254" s="70"/>
      <c r="AG254" s="70"/>
    </row>
    <row r="255" spans="1:33" ht="15.75" customHeight="1">
      <c r="A255" s="70"/>
      <c r="B255" s="312"/>
      <c r="C255" s="69"/>
      <c r="D255" s="313"/>
      <c r="E255" s="67"/>
      <c r="F255" s="67"/>
      <c r="G255" s="67"/>
      <c r="H255" s="67"/>
      <c r="I255" s="67"/>
      <c r="J255" s="67"/>
      <c r="K255" s="67"/>
      <c r="L255" s="67"/>
      <c r="M255" s="67"/>
      <c r="N255" s="67"/>
      <c r="O255" s="67"/>
      <c r="P255" s="67"/>
      <c r="Q255" s="67"/>
      <c r="R255" s="67"/>
      <c r="S255" s="67"/>
      <c r="T255" s="67"/>
      <c r="U255" s="67"/>
      <c r="V255" s="67"/>
      <c r="W255" s="329"/>
      <c r="X255" s="329"/>
      <c r="Y255" s="329"/>
      <c r="Z255" s="329"/>
      <c r="AA255" s="539"/>
      <c r="AB255" s="70"/>
      <c r="AC255" s="70"/>
      <c r="AD255" s="70"/>
      <c r="AE255" s="70"/>
      <c r="AF255" s="70"/>
      <c r="AG255" s="70"/>
    </row>
    <row r="256" spans="1:33" ht="15.75" customHeight="1">
      <c r="A256" s="70"/>
      <c r="B256" s="312"/>
      <c r="C256" s="69"/>
      <c r="D256" s="313"/>
      <c r="E256" s="67"/>
      <c r="F256" s="67"/>
      <c r="G256" s="67"/>
      <c r="H256" s="67"/>
      <c r="I256" s="67"/>
      <c r="J256" s="67"/>
      <c r="K256" s="67"/>
      <c r="L256" s="67"/>
      <c r="M256" s="67"/>
      <c r="N256" s="67"/>
      <c r="O256" s="67"/>
      <c r="P256" s="67"/>
      <c r="Q256" s="67"/>
      <c r="R256" s="67"/>
      <c r="S256" s="67"/>
      <c r="T256" s="67"/>
      <c r="U256" s="67"/>
      <c r="V256" s="67"/>
      <c r="W256" s="329"/>
      <c r="X256" s="329"/>
      <c r="Y256" s="329"/>
      <c r="Z256" s="329"/>
      <c r="AA256" s="539"/>
      <c r="AB256" s="70"/>
      <c r="AC256" s="70"/>
      <c r="AD256" s="70"/>
      <c r="AE256" s="70"/>
      <c r="AF256" s="70"/>
      <c r="AG256" s="70"/>
    </row>
    <row r="257" spans="1:33" ht="15.75" customHeight="1">
      <c r="A257" s="70"/>
      <c r="B257" s="312"/>
      <c r="C257" s="69"/>
      <c r="D257" s="313"/>
      <c r="E257" s="67"/>
      <c r="F257" s="67"/>
      <c r="G257" s="67"/>
      <c r="H257" s="67"/>
      <c r="I257" s="67"/>
      <c r="J257" s="67"/>
      <c r="K257" s="67"/>
      <c r="L257" s="67"/>
      <c r="M257" s="67"/>
      <c r="N257" s="67"/>
      <c r="O257" s="67"/>
      <c r="P257" s="67"/>
      <c r="Q257" s="67"/>
      <c r="R257" s="67"/>
      <c r="S257" s="67"/>
      <c r="T257" s="67"/>
      <c r="U257" s="67"/>
      <c r="V257" s="67"/>
      <c r="W257" s="329"/>
      <c r="X257" s="329"/>
      <c r="Y257" s="329"/>
      <c r="Z257" s="329"/>
      <c r="AA257" s="539"/>
      <c r="AB257" s="70"/>
      <c r="AC257" s="70"/>
      <c r="AD257" s="70"/>
      <c r="AE257" s="70"/>
      <c r="AF257" s="70"/>
      <c r="AG257" s="70"/>
    </row>
    <row r="258" spans="1:33" ht="15.75" customHeight="1">
      <c r="A258" s="70"/>
      <c r="B258" s="312"/>
      <c r="C258" s="69"/>
      <c r="D258" s="313"/>
      <c r="E258" s="67"/>
      <c r="F258" s="67"/>
      <c r="G258" s="67"/>
      <c r="H258" s="67"/>
      <c r="I258" s="67"/>
      <c r="J258" s="67"/>
      <c r="K258" s="67"/>
      <c r="L258" s="67"/>
      <c r="M258" s="67"/>
      <c r="N258" s="67"/>
      <c r="O258" s="67"/>
      <c r="P258" s="67"/>
      <c r="Q258" s="67"/>
      <c r="R258" s="67"/>
      <c r="S258" s="67"/>
      <c r="T258" s="67"/>
      <c r="U258" s="67"/>
      <c r="V258" s="67"/>
      <c r="W258" s="329"/>
      <c r="X258" s="329"/>
      <c r="Y258" s="329"/>
      <c r="Z258" s="329"/>
      <c r="AA258" s="539"/>
      <c r="AB258" s="70"/>
      <c r="AC258" s="70"/>
      <c r="AD258" s="70"/>
      <c r="AE258" s="70"/>
      <c r="AF258" s="70"/>
      <c r="AG258" s="70"/>
    </row>
    <row r="259" spans="1:33" ht="15.75" customHeight="1">
      <c r="A259" s="70"/>
      <c r="B259" s="312"/>
      <c r="C259" s="69"/>
      <c r="D259" s="313"/>
      <c r="E259" s="67"/>
      <c r="F259" s="67"/>
      <c r="G259" s="67"/>
      <c r="H259" s="67"/>
      <c r="I259" s="67"/>
      <c r="J259" s="67"/>
      <c r="K259" s="67"/>
      <c r="L259" s="67"/>
      <c r="M259" s="67"/>
      <c r="N259" s="67"/>
      <c r="O259" s="67"/>
      <c r="P259" s="67"/>
      <c r="Q259" s="67"/>
      <c r="R259" s="67"/>
      <c r="S259" s="67"/>
      <c r="T259" s="67"/>
      <c r="U259" s="67"/>
      <c r="V259" s="67"/>
      <c r="W259" s="329"/>
      <c r="X259" s="329"/>
      <c r="Y259" s="329"/>
      <c r="Z259" s="329"/>
      <c r="AA259" s="539"/>
      <c r="AB259" s="70"/>
      <c r="AC259" s="70"/>
      <c r="AD259" s="70"/>
      <c r="AE259" s="70"/>
      <c r="AF259" s="70"/>
      <c r="AG259" s="70"/>
    </row>
    <row r="260" spans="1:33" ht="15.75" customHeight="1">
      <c r="A260" s="70"/>
      <c r="B260" s="312"/>
      <c r="C260" s="69"/>
      <c r="D260" s="313"/>
      <c r="E260" s="67"/>
      <c r="F260" s="67"/>
      <c r="G260" s="67"/>
      <c r="H260" s="67"/>
      <c r="I260" s="67"/>
      <c r="J260" s="67"/>
      <c r="K260" s="67"/>
      <c r="L260" s="67"/>
      <c r="M260" s="67"/>
      <c r="N260" s="67"/>
      <c r="O260" s="67"/>
      <c r="P260" s="67"/>
      <c r="Q260" s="67"/>
      <c r="R260" s="67"/>
      <c r="S260" s="67"/>
      <c r="T260" s="67"/>
      <c r="U260" s="67"/>
      <c r="V260" s="67"/>
      <c r="W260" s="329"/>
      <c r="X260" s="329"/>
      <c r="Y260" s="329"/>
      <c r="Z260" s="329"/>
      <c r="AA260" s="539"/>
      <c r="AB260" s="70"/>
      <c r="AC260" s="70"/>
      <c r="AD260" s="70"/>
      <c r="AE260" s="70"/>
      <c r="AF260" s="70"/>
      <c r="AG260" s="70"/>
    </row>
    <row r="261" spans="1:33" ht="15.75" customHeight="1">
      <c r="A261" s="70"/>
      <c r="B261" s="312"/>
      <c r="C261" s="69"/>
      <c r="D261" s="313"/>
      <c r="E261" s="67"/>
      <c r="F261" s="67"/>
      <c r="G261" s="67"/>
      <c r="H261" s="67"/>
      <c r="I261" s="67"/>
      <c r="J261" s="67"/>
      <c r="K261" s="67"/>
      <c r="L261" s="67"/>
      <c r="M261" s="67"/>
      <c r="N261" s="67"/>
      <c r="O261" s="67"/>
      <c r="P261" s="67"/>
      <c r="Q261" s="67"/>
      <c r="R261" s="67"/>
      <c r="S261" s="67"/>
      <c r="T261" s="67"/>
      <c r="U261" s="67"/>
      <c r="V261" s="67"/>
      <c r="W261" s="329"/>
      <c r="X261" s="329"/>
      <c r="Y261" s="329"/>
      <c r="Z261" s="329"/>
      <c r="AA261" s="539"/>
      <c r="AB261" s="70"/>
      <c r="AC261" s="70"/>
      <c r="AD261" s="70"/>
      <c r="AE261" s="70"/>
      <c r="AF261" s="70"/>
      <c r="AG261" s="70"/>
    </row>
    <row r="262" spans="1:33" ht="15.75" customHeight="1">
      <c r="A262" s="70"/>
      <c r="B262" s="312"/>
      <c r="C262" s="69"/>
      <c r="D262" s="313"/>
      <c r="E262" s="67"/>
      <c r="F262" s="67"/>
      <c r="G262" s="67"/>
      <c r="H262" s="67"/>
      <c r="I262" s="67"/>
      <c r="J262" s="67"/>
      <c r="K262" s="67"/>
      <c r="L262" s="67"/>
      <c r="M262" s="67"/>
      <c r="N262" s="67"/>
      <c r="O262" s="67"/>
      <c r="P262" s="67"/>
      <c r="Q262" s="67"/>
      <c r="R262" s="67"/>
      <c r="S262" s="67"/>
      <c r="T262" s="67"/>
      <c r="U262" s="67"/>
      <c r="V262" s="67"/>
      <c r="W262" s="329"/>
      <c r="X262" s="329"/>
      <c r="Y262" s="329"/>
      <c r="Z262" s="329"/>
      <c r="AA262" s="539"/>
      <c r="AB262" s="70"/>
      <c r="AC262" s="70"/>
      <c r="AD262" s="70"/>
      <c r="AE262" s="70"/>
      <c r="AF262" s="70"/>
      <c r="AG262" s="70"/>
    </row>
    <row r="263" spans="1:33" ht="15.75" customHeight="1">
      <c r="A263" s="70"/>
      <c r="B263" s="312"/>
      <c r="C263" s="69"/>
      <c r="D263" s="313"/>
      <c r="E263" s="67"/>
      <c r="F263" s="67"/>
      <c r="G263" s="67"/>
      <c r="H263" s="67"/>
      <c r="I263" s="67"/>
      <c r="J263" s="67"/>
      <c r="K263" s="67"/>
      <c r="L263" s="67"/>
      <c r="M263" s="67"/>
      <c r="N263" s="67"/>
      <c r="O263" s="67"/>
      <c r="P263" s="67"/>
      <c r="Q263" s="67"/>
      <c r="R263" s="67"/>
      <c r="S263" s="67"/>
      <c r="T263" s="67"/>
      <c r="U263" s="67"/>
      <c r="V263" s="67"/>
      <c r="W263" s="329"/>
      <c r="X263" s="329"/>
      <c r="Y263" s="329"/>
      <c r="Z263" s="329"/>
      <c r="AA263" s="539"/>
      <c r="AB263" s="70"/>
      <c r="AC263" s="70"/>
      <c r="AD263" s="70"/>
      <c r="AE263" s="70"/>
      <c r="AF263" s="70"/>
      <c r="AG263" s="70"/>
    </row>
    <row r="264" spans="1:33" ht="15.75" customHeight="1">
      <c r="A264" s="70"/>
      <c r="B264" s="312"/>
      <c r="C264" s="69"/>
      <c r="D264" s="313"/>
      <c r="E264" s="67"/>
      <c r="F264" s="67"/>
      <c r="G264" s="67"/>
      <c r="H264" s="67"/>
      <c r="I264" s="67"/>
      <c r="J264" s="67"/>
      <c r="K264" s="67"/>
      <c r="L264" s="67"/>
      <c r="M264" s="67"/>
      <c r="N264" s="67"/>
      <c r="O264" s="67"/>
      <c r="P264" s="67"/>
      <c r="Q264" s="67"/>
      <c r="R264" s="67"/>
      <c r="S264" s="67"/>
      <c r="T264" s="67"/>
      <c r="U264" s="67"/>
      <c r="V264" s="67"/>
      <c r="W264" s="329"/>
      <c r="X264" s="329"/>
      <c r="Y264" s="329"/>
      <c r="Z264" s="329"/>
      <c r="AA264" s="539"/>
      <c r="AB264" s="70"/>
      <c r="AC264" s="70"/>
      <c r="AD264" s="70"/>
      <c r="AE264" s="70"/>
      <c r="AF264" s="70"/>
      <c r="AG264" s="70"/>
    </row>
    <row r="265" spans="1:33" ht="15.75" customHeight="1">
      <c r="A265" s="70"/>
      <c r="B265" s="312"/>
      <c r="C265" s="69"/>
      <c r="D265" s="313"/>
      <c r="E265" s="67"/>
      <c r="F265" s="67"/>
      <c r="G265" s="67"/>
      <c r="H265" s="67"/>
      <c r="I265" s="67"/>
      <c r="J265" s="67"/>
      <c r="K265" s="67"/>
      <c r="L265" s="67"/>
      <c r="M265" s="67"/>
      <c r="N265" s="67"/>
      <c r="O265" s="67"/>
      <c r="P265" s="67"/>
      <c r="Q265" s="67"/>
      <c r="R265" s="67"/>
      <c r="S265" s="67"/>
      <c r="T265" s="67"/>
      <c r="U265" s="67"/>
      <c r="V265" s="67"/>
      <c r="W265" s="329"/>
      <c r="X265" s="329"/>
      <c r="Y265" s="329"/>
      <c r="Z265" s="329"/>
      <c r="AA265" s="539"/>
      <c r="AB265" s="70"/>
      <c r="AC265" s="70"/>
      <c r="AD265" s="70"/>
      <c r="AE265" s="70"/>
      <c r="AF265" s="70"/>
      <c r="AG265" s="70"/>
    </row>
    <row r="266" spans="1:33" ht="15.75" customHeight="1">
      <c r="A266" s="70"/>
      <c r="B266" s="312"/>
      <c r="C266" s="69"/>
      <c r="D266" s="313"/>
      <c r="E266" s="67"/>
      <c r="F266" s="67"/>
      <c r="G266" s="67"/>
      <c r="H266" s="67"/>
      <c r="I266" s="67"/>
      <c r="J266" s="67"/>
      <c r="K266" s="67"/>
      <c r="L266" s="67"/>
      <c r="M266" s="67"/>
      <c r="N266" s="67"/>
      <c r="O266" s="67"/>
      <c r="P266" s="67"/>
      <c r="Q266" s="67"/>
      <c r="R266" s="67"/>
      <c r="S266" s="67"/>
      <c r="T266" s="67"/>
      <c r="U266" s="67"/>
      <c r="V266" s="67"/>
      <c r="W266" s="329"/>
      <c r="X266" s="329"/>
      <c r="Y266" s="329"/>
      <c r="Z266" s="329"/>
      <c r="AA266" s="539"/>
      <c r="AB266" s="70"/>
      <c r="AC266" s="70"/>
      <c r="AD266" s="70"/>
      <c r="AE266" s="70"/>
      <c r="AF266" s="70"/>
      <c r="AG266" s="70"/>
    </row>
    <row r="267" spans="1:33" ht="15.75" customHeight="1">
      <c r="A267" s="70"/>
      <c r="B267" s="312"/>
      <c r="C267" s="69"/>
      <c r="D267" s="313"/>
      <c r="E267" s="67"/>
      <c r="F267" s="67"/>
      <c r="G267" s="67"/>
      <c r="H267" s="67"/>
      <c r="I267" s="67"/>
      <c r="J267" s="67"/>
      <c r="K267" s="67"/>
      <c r="L267" s="67"/>
      <c r="M267" s="67"/>
      <c r="N267" s="67"/>
      <c r="O267" s="67"/>
      <c r="P267" s="67"/>
      <c r="Q267" s="67"/>
      <c r="R267" s="67"/>
      <c r="S267" s="67"/>
      <c r="T267" s="67"/>
      <c r="U267" s="67"/>
      <c r="V267" s="67"/>
      <c r="W267" s="329"/>
      <c r="X267" s="329"/>
      <c r="Y267" s="329"/>
      <c r="Z267" s="329"/>
      <c r="AA267" s="539"/>
      <c r="AB267" s="70"/>
      <c r="AC267" s="70"/>
      <c r="AD267" s="70"/>
      <c r="AE267" s="70"/>
      <c r="AF267" s="70"/>
      <c r="AG267" s="70"/>
    </row>
    <row r="268" spans="1:33" ht="15.75" customHeight="1">
      <c r="A268" s="70"/>
      <c r="B268" s="312"/>
      <c r="C268" s="69"/>
      <c r="D268" s="313"/>
      <c r="E268" s="67"/>
      <c r="F268" s="67"/>
      <c r="G268" s="67"/>
      <c r="H268" s="67"/>
      <c r="I268" s="67"/>
      <c r="J268" s="67"/>
      <c r="K268" s="67"/>
      <c r="L268" s="67"/>
      <c r="M268" s="67"/>
      <c r="N268" s="67"/>
      <c r="O268" s="67"/>
      <c r="P268" s="67"/>
      <c r="Q268" s="67"/>
      <c r="R268" s="67"/>
      <c r="S268" s="67"/>
      <c r="T268" s="67"/>
      <c r="U268" s="67"/>
      <c r="V268" s="67"/>
      <c r="W268" s="329"/>
      <c r="X268" s="329"/>
      <c r="Y268" s="329"/>
      <c r="Z268" s="329"/>
      <c r="AA268" s="539"/>
      <c r="AB268" s="70"/>
      <c r="AC268" s="70"/>
      <c r="AD268" s="70"/>
      <c r="AE268" s="70"/>
      <c r="AF268" s="70"/>
      <c r="AG268" s="70"/>
    </row>
    <row r="269" spans="1:33" ht="15.75" customHeight="1">
      <c r="A269" s="70"/>
      <c r="B269" s="312"/>
      <c r="C269" s="69"/>
      <c r="D269" s="313"/>
      <c r="E269" s="67"/>
      <c r="F269" s="67"/>
      <c r="G269" s="67"/>
      <c r="H269" s="67"/>
      <c r="I269" s="67"/>
      <c r="J269" s="67"/>
      <c r="K269" s="67"/>
      <c r="L269" s="67"/>
      <c r="M269" s="67"/>
      <c r="N269" s="67"/>
      <c r="O269" s="67"/>
      <c r="P269" s="67"/>
      <c r="Q269" s="67"/>
      <c r="R269" s="67"/>
      <c r="S269" s="67"/>
      <c r="T269" s="67"/>
      <c r="U269" s="67"/>
      <c r="V269" s="67"/>
      <c r="W269" s="329"/>
      <c r="X269" s="329"/>
      <c r="Y269" s="329"/>
      <c r="Z269" s="329"/>
      <c r="AA269" s="539"/>
      <c r="AB269" s="70"/>
      <c r="AC269" s="70"/>
      <c r="AD269" s="70"/>
      <c r="AE269" s="70"/>
      <c r="AF269" s="70"/>
      <c r="AG269" s="70"/>
    </row>
    <row r="270" spans="1:33" ht="15.75" customHeight="1">
      <c r="A270" s="70"/>
      <c r="B270" s="312"/>
      <c r="C270" s="69"/>
      <c r="D270" s="313"/>
      <c r="E270" s="67"/>
      <c r="F270" s="67"/>
      <c r="G270" s="67"/>
      <c r="H270" s="67"/>
      <c r="I270" s="67"/>
      <c r="J270" s="67"/>
      <c r="K270" s="67"/>
      <c r="L270" s="67"/>
      <c r="M270" s="67"/>
      <c r="N270" s="67"/>
      <c r="O270" s="67"/>
      <c r="P270" s="67"/>
      <c r="Q270" s="67"/>
      <c r="R270" s="67"/>
      <c r="S270" s="67"/>
      <c r="T270" s="67"/>
      <c r="U270" s="67"/>
      <c r="V270" s="67"/>
      <c r="W270" s="329"/>
      <c r="X270" s="329"/>
      <c r="Y270" s="329"/>
      <c r="Z270" s="329"/>
      <c r="AA270" s="539"/>
      <c r="AB270" s="70"/>
      <c r="AC270" s="70"/>
      <c r="AD270" s="70"/>
      <c r="AE270" s="70"/>
      <c r="AF270" s="70"/>
      <c r="AG270" s="70"/>
    </row>
    <row r="271" spans="1:33" ht="15.75" customHeight="1">
      <c r="A271" s="70"/>
      <c r="B271" s="312"/>
      <c r="C271" s="69"/>
      <c r="D271" s="313"/>
      <c r="E271" s="67"/>
      <c r="F271" s="67"/>
      <c r="G271" s="67"/>
      <c r="H271" s="67"/>
      <c r="I271" s="67"/>
      <c r="J271" s="67"/>
      <c r="K271" s="67"/>
      <c r="L271" s="67"/>
      <c r="M271" s="67"/>
      <c r="N271" s="67"/>
      <c r="O271" s="67"/>
      <c r="P271" s="67"/>
      <c r="Q271" s="67"/>
      <c r="R271" s="67"/>
      <c r="S271" s="67"/>
      <c r="T271" s="67"/>
      <c r="U271" s="67"/>
      <c r="V271" s="67"/>
      <c r="W271" s="329"/>
      <c r="X271" s="329"/>
      <c r="Y271" s="329"/>
      <c r="Z271" s="329"/>
      <c r="AA271" s="539"/>
      <c r="AB271" s="70"/>
      <c r="AC271" s="70"/>
      <c r="AD271" s="70"/>
      <c r="AE271" s="70"/>
      <c r="AF271" s="70"/>
      <c r="AG271" s="70"/>
    </row>
    <row r="272" spans="1:33" ht="15.75" customHeight="1">
      <c r="A272" s="70"/>
      <c r="B272" s="312"/>
      <c r="C272" s="69"/>
      <c r="D272" s="313"/>
      <c r="E272" s="67"/>
      <c r="F272" s="67"/>
      <c r="G272" s="67"/>
      <c r="H272" s="67"/>
      <c r="I272" s="67"/>
      <c r="J272" s="67"/>
      <c r="K272" s="67"/>
      <c r="L272" s="67"/>
      <c r="M272" s="67"/>
      <c r="N272" s="67"/>
      <c r="O272" s="67"/>
      <c r="P272" s="67"/>
      <c r="Q272" s="67"/>
      <c r="R272" s="67"/>
      <c r="S272" s="67"/>
      <c r="T272" s="67"/>
      <c r="U272" s="67"/>
      <c r="V272" s="67"/>
      <c r="W272" s="329"/>
      <c r="X272" s="329"/>
      <c r="Y272" s="329"/>
      <c r="Z272" s="329"/>
      <c r="AA272" s="539"/>
      <c r="AB272" s="70"/>
      <c r="AC272" s="70"/>
      <c r="AD272" s="70"/>
      <c r="AE272" s="70"/>
      <c r="AF272" s="70"/>
      <c r="AG272" s="70"/>
    </row>
    <row r="273" spans="1:33" ht="15.75" customHeight="1">
      <c r="A273" s="70"/>
      <c r="B273" s="312"/>
      <c r="C273" s="69"/>
      <c r="D273" s="313"/>
      <c r="E273" s="67"/>
      <c r="F273" s="67"/>
      <c r="G273" s="67"/>
      <c r="H273" s="67"/>
      <c r="I273" s="67"/>
      <c r="J273" s="67"/>
      <c r="K273" s="67"/>
      <c r="L273" s="67"/>
      <c r="M273" s="67"/>
      <c r="N273" s="67"/>
      <c r="O273" s="67"/>
      <c r="P273" s="67"/>
      <c r="Q273" s="67"/>
      <c r="R273" s="67"/>
      <c r="S273" s="67"/>
      <c r="T273" s="67"/>
      <c r="U273" s="67"/>
      <c r="V273" s="67"/>
      <c r="W273" s="329"/>
      <c r="X273" s="329"/>
      <c r="Y273" s="329"/>
      <c r="Z273" s="329"/>
      <c r="AA273" s="539"/>
      <c r="AB273" s="70"/>
      <c r="AC273" s="70"/>
      <c r="AD273" s="70"/>
      <c r="AE273" s="70"/>
      <c r="AF273" s="70"/>
      <c r="AG273" s="70"/>
    </row>
    <row r="274" spans="1:33" ht="15.75" customHeight="1">
      <c r="A274" s="70"/>
      <c r="B274" s="312"/>
      <c r="C274" s="69"/>
      <c r="D274" s="313"/>
      <c r="E274" s="67"/>
      <c r="F274" s="67"/>
      <c r="G274" s="67"/>
      <c r="H274" s="67"/>
      <c r="I274" s="67"/>
      <c r="J274" s="67"/>
      <c r="K274" s="67"/>
      <c r="L274" s="67"/>
      <c r="M274" s="67"/>
      <c r="N274" s="67"/>
      <c r="O274" s="67"/>
      <c r="P274" s="67"/>
      <c r="Q274" s="67"/>
      <c r="R274" s="67"/>
      <c r="S274" s="67"/>
      <c r="T274" s="67"/>
      <c r="U274" s="67"/>
      <c r="V274" s="67"/>
      <c r="W274" s="329"/>
      <c r="X274" s="329"/>
      <c r="Y274" s="329"/>
      <c r="Z274" s="329"/>
      <c r="AA274" s="539"/>
      <c r="AB274" s="70"/>
      <c r="AC274" s="70"/>
      <c r="AD274" s="70"/>
      <c r="AE274" s="70"/>
      <c r="AF274" s="70"/>
      <c r="AG274" s="70"/>
    </row>
    <row r="275" spans="1:33" ht="15.75" customHeight="1">
      <c r="A275" s="70"/>
      <c r="B275" s="312"/>
      <c r="C275" s="69"/>
      <c r="D275" s="313"/>
      <c r="E275" s="67"/>
      <c r="F275" s="67"/>
      <c r="G275" s="67"/>
      <c r="H275" s="67"/>
      <c r="I275" s="67"/>
      <c r="J275" s="67"/>
      <c r="K275" s="67"/>
      <c r="L275" s="67"/>
      <c r="M275" s="67"/>
      <c r="N275" s="67"/>
      <c r="O275" s="67"/>
      <c r="P275" s="67"/>
      <c r="Q275" s="67"/>
      <c r="R275" s="67"/>
      <c r="S275" s="67"/>
      <c r="T275" s="67"/>
      <c r="U275" s="67"/>
      <c r="V275" s="67"/>
      <c r="W275" s="329"/>
      <c r="X275" s="329"/>
      <c r="Y275" s="329"/>
      <c r="Z275" s="329"/>
      <c r="AA275" s="539"/>
      <c r="AB275" s="70"/>
      <c r="AC275" s="70"/>
      <c r="AD275" s="70"/>
      <c r="AE275" s="70"/>
      <c r="AF275" s="70"/>
      <c r="AG275" s="70"/>
    </row>
    <row r="276" spans="1:33" ht="15.75" customHeight="1">
      <c r="A276" s="70"/>
      <c r="B276" s="312"/>
      <c r="C276" s="69"/>
      <c r="D276" s="313"/>
      <c r="E276" s="67"/>
      <c r="F276" s="67"/>
      <c r="G276" s="67"/>
      <c r="H276" s="67"/>
      <c r="I276" s="67"/>
      <c r="J276" s="67"/>
      <c r="K276" s="67"/>
      <c r="L276" s="67"/>
      <c r="M276" s="67"/>
      <c r="N276" s="67"/>
      <c r="O276" s="67"/>
      <c r="P276" s="67"/>
      <c r="Q276" s="67"/>
      <c r="R276" s="67"/>
      <c r="S276" s="67"/>
      <c r="T276" s="67"/>
      <c r="U276" s="67"/>
      <c r="V276" s="67"/>
      <c r="W276" s="329"/>
      <c r="X276" s="329"/>
      <c r="Y276" s="329"/>
      <c r="Z276" s="329"/>
      <c r="AA276" s="539"/>
      <c r="AB276" s="70"/>
      <c r="AC276" s="70"/>
      <c r="AD276" s="70"/>
      <c r="AE276" s="70"/>
      <c r="AF276" s="70"/>
      <c r="AG276" s="70"/>
    </row>
    <row r="277" spans="1:33" ht="15.75" customHeight="1">
      <c r="A277" s="70"/>
      <c r="B277" s="312"/>
      <c r="C277" s="69"/>
      <c r="D277" s="313"/>
      <c r="E277" s="67"/>
      <c r="F277" s="67"/>
      <c r="G277" s="67"/>
      <c r="H277" s="67"/>
      <c r="I277" s="67"/>
      <c r="J277" s="67"/>
      <c r="K277" s="67"/>
      <c r="L277" s="67"/>
      <c r="M277" s="67"/>
      <c r="N277" s="67"/>
      <c r="O277" s="67"/>
      <c r="P277" s="67"/>
      <c r="Q277" s="67"/>
      <c r="R277" s="67"/>
      <c r="S277" s="67"/>
      <c r="T277" s="67"/>
      <c r="U277" s="67"/>
      <c r="V277" s="67"/>
      <c r="W277" s="329"/>
      <c r="X277" s="329"/>
      <c r="Y277" s="329"/>
      <c r="Z277" s="329"/>
      <c r="AA277" s="539"/>
      <c r="AB277" s="70"/>
      <c r="AC277" s="70"/>
      <c r="AD277" s="70"/>
      <c r="AE277" s="70"/>
      <c r="AF277" s="70"/>
      <c r="AG277" s="70"/>
    </row>
    <row r="278" spans="1:33" ht="15.75" customHeight="1">
      <c r="A278" s="70"/>
      <c r="B278" s="312"/>
      <c r="C278" s="69"/>
      <c r="D278" s="313"/>
      <c r="E278" s="67"/>
      <c r="F278" s="67"/>
      <c r="G278" s="67"/>
      <c r="H278" s="67"/>
      <c r="I278" s="67"/>
      <c r="J278" s="67"/>
      <c r="K278" s="67"/>
      <c r="L278" s="67"/>
      <c r="M278" s="67"/>
      <c r="N278" s="67"/>
      <c r="O278" s="67"/>
      <c r="P278" s="67"/>
      <c r="Q278" s="67"/>
      <c r="R278" s="67"/>
      <c r="S278" s="67"/>
      <c r="T278" s="67"/>
      <c r="U278" s="67"/>
      <c r="V278" s="67"/>
      <c r="W278" s="329"/>
      <c r="X278" s="329"/>
      <c r="Y278" s="329"/>
      <c r="Z278" s="329"/>
      <c r="AA278" s="539"/>
      <c r="AB278" s="70"/>
      <c r="AC278" s="70"/>
      <c r="AD278" s="70"/>
      <c r="AE278" s="70"/>
      <c r="AF278" s="70"/>
      <c r="AG278" s="70"/>
    </row>
    <row r="279" spans="1:33" ht="15.75" customHeight="1">
      <c r="A279" s="70"/>
      <c r="B279" s="312"/>
      <c r="C279" s="69"/>
      <c r="D279" s="313"/>
      <c r="E279" s="67"/>
      <c r="F279" s="67"/>
      <c r="G279" s="67"/>
      <c r="H279" s="67"/>
      <c r="I279" s="67"/>
      <c r="J279" s="67"/>
      <c r="K279" s="67"/>
      <c r="L279" s="67"/>
      <c r="M279" s="67"/>
      <c r="N279" s="67"/>
      <c r="O279" s="67"/>
      <c r="P279" s="67"/>
      <c r="Q279" s="67"/>
      <c r="R279" s="67"/>
      <c r="S279" s="67"/>
      <c r="T279" s="67"/>
      <c r="U279" s="67"/>
      <c r="V279" s="67"/>
      <c r="W279" s="329"/>
      <c r="X279" s="329"/>
      <c r="Y279" s="329"/>
      <c r="Z279" s="329"/>
      <c r="AA279" s="539"/>
      <c r="AB279" s="70"/>
      <c r="AC279" s="70"/>
      <c r="AD279" s="70"/>
      <c r="AE279" s="70"/>
      <c r="AF279" s="70"/>
      <c r="AG279" s="70"/>
    </row>
    <row r="280" spans="1:33" ht="15.75" customHeight="1">
      <c r="A280" s="70"/>
      <c r="B280" s="312"/>
      <c r="C280" s="69"/>
      <c r="D280" s="313"/>
      <c r="E280" s="67"/>
      <c r="F280" s="67"/>
      <c r="G280" s="67"/>
      <c r="H280" s="67"/>
      <c r="I280" s="67"/>
      <c r="J280" s="67"/>
      <c r="K280" s="67"/>
      <c r="L280" s="67"/>
      <c r="M280" s="67"/>
      <c r="N280" s="67"/>
      <c r="O280" s="67"/>
      <c r="P280" s="67"/>
      <c r="Q280" s="67"/>
      <c r="R280" s="67"/>
      <c r="S280" s="67"/>
      <c r="T280" s="67"/>
      <c r="U280" s="67"/>
      <c r="V280" s="67"/>
      <c r="W280" s="329"/>
      <c r="X280" s="329"/>
      <c r="Y280" s="329"/>
      <c r="Z280" s="329"/>
      <c r="AA280" s="539"/>
      <c r="AB280" s="70"/>
      <c r="AC280" s="70"/>
      <c r="AD280" s="70"/>
      <c r="AE280" s="70"/>
      <c r="AF280" s="70"/>
      <c r="AG280" s="70"/>
    </row>
    <row r="281" spans="1:33" ht="15.75" customHeight="1">
      <c r="A281" s="70"/>
      <c r="B281" s="312"/>
      <c r="C281" s="69"/>
      <c r="D281" s="313"/>
      <c r="E281" s="67"/>
      <c r="F281" s="67"/>
      <c r="G281" s="67"/>
      <c r="H281" s="67"/>
      <c r="I281" s="67"/>
      <c r="J281" s="67"/>
      <c r="K281" s="67"/>
      <c r="L281" s="67"/>
      <c r="M281" s="67"/>
      <c r="N281" s="67"/>
      <c r="O281" s="67"/>
      <c r="P281" s="67"/>
      <c r="Q281" s="67"/>
      <c r="R281" s="67"/>
      <c r="S281" s="67"/>
      <c r="T281" s="67"/>
      <c r="U281" s="67"/>
      <c r="V281" s="67"/>
      <c r="W281" s="329"/>
      <c r="X281" s="329"/>
      <c r="Y281" s="329"/>
      <c r="Z281" s="329"/>
      <c r="AA281" s="539"/>
      <c r="AB281" s="70"/>
      <c r="AC281" s="70"/>
      <c r="AD281" s="70"/>
      <c r="AE281" s="70"/>
      <c r="AF281" s="70"/>
      <c r="AG281" s="70"/>
    </row>
    <row r="282" spans="1:33" ht="15.75" customHeight="1">
      <c r="A282" s="70"/>
      <c r="B282" s="312"/>
      <c r="C282" s="69"/>
      <c r="D282" s="313"/>
      <c r="E282" s="67"/>
      <c r="F282" s="67"/>
      <c r="G282" s="67"/>
      <c r="H282" s="67"/>
      <c r="I282" s="67"/>
      <c r="J282" s="67"/>
      <c r="K282" s="67"/>
      <c r="L282" s="67"/>
      <c r="M282" s="67"/>
      <c r="N282" s="67"/>
      <c r="O282" s="67"/>
      <c r="P282" s="67"/>
      <c r="Q282" s="67"/>
      <c r="R282" s="67"/>
      <c r="S282" s="67"/>
      <c r="T282" s="67"/>
      <c r="U282" s="67"/>
      <c r="V282" s="67"/>
      <c r="W282" s="329"/>
      <c r="X282" s="329"/>
      <c r="Y282" s="329"/>
      <c r="Z282" s="329"/>
      <c r="AA282" s="539"/>
      <c r="AB282" s="70"/>
      <c r="AC282" s="70"/>
      <c r="AD282" s="70"/>
      <c r="AE282" s="70"/>
      <c r="AF282" s="70"/>
      <c r="AG282" s="70"/>
    </row>
    <row r="283" spans="1:33" ht="15.75" customHeight="1">
      <c r="A283" s="70"/>
      <c r="B283" s="312"/>
      <c r="C283" s="69"/>
      <c r="D283" s="313"/>
      <c r="E283" s="67"/>
      <c r="F283" s="67"/>
      <c r="G283" s="67"/>
      <c r="H283" s="67"/>
      <c r="I283" s="67"/>
      <c r="J283" s="67"/>
      <c r="K283" s="67"/>
      <c r="L283" s="67"/>
      <c r="M283" s="67"/>
      <c r="N283" s="67"/>
      <c r="O283" s="67"/>
      <c r="P283" s="67"/>
      <c r="Q283" s="67"/>
      <c r="R283" s="67"/>
      <c r="S283" s="67"/>
      <c r="T283" s="67"/>
      <c r="U283" s="67"/>
      <c r="V283" s="67"/>
      <c r="W283" s="329"/>
      <c r="X283" s="329"/>
      <c r="Y283" s="329"/>
      <c r="Z283" s="329"/>
      <c r="AA283" s="539"/>
      <c r="AB283" s="70"/>
      <c r="AC283" s="70"/>
      <c r="AD283" s="70"/>
      <c r="AE283" s="70"/>
      <c r="AF283" s="70"/>
      <c r="AG283" s="70"/>
    </row>
    <row r="284" spans="1:33" ht="15.75" customHeight="1">
      <c r="A284" s="70"/>
      <c r="B284" s="312"/>
      <c r="C284" s="69"/>
      <c r="D284" s="313"/>
      <c r="E284" s="67"/>
      <c r="F284" s="67"/>
      <c r="G284" s="67"/>
      <c r="H284" s="67"/>
      <c r="I284" s="67"/>
      <c r="J284" s="67"/>
      <c r="K284" s="67"/>
      <c r="L284" s="67"/>
      <c r="M284" s="67"/>
      <c r="N284" s="67"/>
      <c r="O284" s="67"/>
      <c r="P284" s="67"/>
      <c r="Q284" s="67"/>
      <c r="R284" s="67"/>
      <c r="S284" s="67"/>
      <c r="T284" s="67"/>
      <c r="U284" s="67"/>
      <c r="V284" s="67"/>
      <c r="W284" s="329"/>
      <c r="X284" s="329"/>
      <c r="Y284" s="329"/>
      <c r="Z284" s="329"/>
      <c r="AA284" s="539"/>
      <c r="AB284" s="70"/>
      <c r="AC284" s="70"/>
      <c r="AD284" s="70"/>
      <c r="AE284" s="70"/>
      <c r="AF284" s="70"/>
      <c r="AG284" s="70"/>
    </row>
    <row r="285" spans="1:33" ht="15.75" customHeight="1">
      <c r="A285" s="70"/>
      <c r="B285" s="312"/>
      <c r="C285" s="69"/>
      <c r="D285" s="313"/>
      <c r="E285" s="67"/>
      <c r="F285" s="67"/>
      <c r="G285" s="67"/>
      <c r="H285" s="67"/>
      <c r="I285" s="67"/>
      <c r="J285" s="67"/>
      <c r="K285" s="67"/>
      <c r="L285" s="67"/>
      <c r="M285" s="67"/>
      <c r="N285" s="67"/>
      <c r="O285" s="67"/>
      <c r="P285" s="67"/>
      <c r="Q285" s="67"/>
      <c r="R285" s="67"/>
      <c r="S285" s="67"/>
      <c r="T285" s="67"/>
      <c r="U285" s="67"/>
      <c r="V285" s="67"/>
      <c r="W285" s="329"/>
      <c r="X285" s="329"/>
      <c r="Y285" s="329"/>
      <c r="Z285" s="329"/>
      <c r="AA285" s="539"/>
      <c r="AB285" s="70"/>
      <c r="AC285" s="70"/>
      <c r="AD285" s="70"/>
      <c r="AE285" s="70"/>
      <c r="AF285" s="70"/>
      <c r="AG285" s="70"/>
    </row>
    <row r="286" spans="1:33" ht="15.75" customHeight="1">
      <c r="A286" s="70"/>
      <c r="B286" s="312"/>
      <c r="C286" s="69"/>
      <c r="D286" s="313"/>
      <c r="E286" s="67"/>
      <c r="F286" s="67"/>
      <c r="G286" s="67"/>
      <c r="H286" s="67"/>
      <c r="I286" s="67"/>
      <c r="J286" s="67"/>
      <c r="K286" s="67"/>
      <c r="L286" s="67"/>
      <c r="M286" s="67"/>
      <c r="N286" s="67"/>
      <c r="O286" s="67"/>
      <c r="P286" s="67"/>
      <c r="Q286" s="67"/>
      <c r="R286" s="67"/>
      <c r="S286" s="67"/>
      <c r="T286" s="67"/>
      <c r="U286" s="67"/>
      <c r="V286" s="67"/>
      <c r="W286" s="329"/>
      <c r="X286" s="329"/>
      <c r="Y286" s="329"/>
      <c r="Z286" s="329"/>
      <c r="AA286" s="539"/>
      <c r="AB286" s="70"/>
      <c r="AC286" s="70"/>
      <c r="AD286" s="70"/>
      <c r="AE286" s="70"/>
      <c r="AF286" s="70"/>
      <c r="AG286" s="70"/>
    </row>
    <row r="287" spans="1:33" ht="15.75" customHeight="1">
      <c r="A287" s="70"/>
      <c r="B287" s="312"/>
      <c r="C287" s="69"/>
      <c r="D287" s="313"/>
      <c r="E287" s="67"/>
      <c r="F287" s="67"/>
      <c r="G287" s="67"/>
      <c r="H287" s="67"/>
      <c r="I287" s="67"/>
      <c r="J287" s="67"/>
      <c r="K287" s="67"/>
      <c r="L287" s="67"/>
      <c r="M287" s="67"/>
      <c r="N287" s="67"/>
      <c r="O287" s="67"/>
      <c r="P287" s="67"/>
      <c r="Q287" s="67"/>
      <c r="R287" s="67"/>
      <c r="S287" s="67"/>
      <c r="T287" s="67"/>
      <c r="U287" s="67"/>
      <c r="V287" s="67"/>
      <c r="W287" s="329"/>
      <c r="X287" s="329"/>
      <c r="Y287" s="329"/>
      <c r="Z287" s="329"/>
      <c r="AA287" s="539"/>
      <c r="AB287" s="70"/>
      <c r="AC287" s="70"/>
      <c r="AD287" s="70"/>
      <c r="AE287" s="70"/>
      <c r="AF287" s="70"/>
      <c r="AG287" s="70"/>
    </row>
    <row r="288" spans="1:33" ht="15.75" customHeight="1">
      <c r="A288" s="70"/>
      <c r="B288" s="312"/>
      <c r="C288" s="69"/>
      <c r="D288" s="313"/>
      <c r="E288" s="67"/>
      <c r="F288" s="67"/>
      <c r="G288" s="67"/>
      <c r="H288" s="67"/>
      <c r="I288" s="67"/>
      <c r="J288" s="67"/>
      <c r="K288" s="67"/>
      <c r="L288" s="67"/>
      <c r="M288" s="67"/>
      <c r="N288" s="67"/>
      <c r="O288" s="67"/>
      <c r="P288" s="67"/>
      <c r="Q288" s="67"/>
      <c r="R288" s="67"/>
      <c r="S288" s="67"/>
      <c r="T288" s="67"/>
      <c r="U288" s="67"/>
      <c r="V288" s="67"/>
      <c r="W288" s="329"/>
      <c r="X288" s="329"/>
      <c r="Y288" s="329"/>
      <c r="Z288" s="329"/>
      <c r="AA288" s="539"/>
      <c r="AB288" s="70"/>
      <c r="AC288" s="70"/>
      <c r="AD288" s="70"/>
      <c r="AE288" s="70"/>
      <c r="AF288" s="70"/>
      <c r="AG288" s="70"/>
    </row>
    <row r="289" spans="1:33" ht="15.75" customHeight="1">
      <c r="A289" s="70"/>
      <c r="B289" s="312"/>
      <c r="C289" s="69"/>
      <c r="D289" s="313"/>
      <c r="E289" s="67"/>
      <c r="F289" s="67"/>
      <c r="G289" s="67"/>
      <c r="H289" s="67"/>
      <c r="I289" s="67"/>
      <c r="J289" s="67"/>
      <c r="K289" s="67"/>
      <c r="L289" s="67"/>
      <c r="M289" s="67"/>
      <c r="N289" s="67"/>
      <c r="O289" s="67"/>
      <c r="P289" s="67"/>
      <c r="Q289" s="67"/>
      <c r="R289" s="67"/>
      <c r="S289" s="67"/>
      <c r="T289" s="67"/>
      <c r="U289" s="67"/>
      <c r="V289" s="67"/>
      <c r="W289" s="329"/>
      <c r="X289" s="329"/>
      <c r="Y289" s="329"/>
      <c r="Z289" s="329"/>
      <c r="AA289" s="539"/>
      <c r="AB289" s="70"/>
      <c r="AC289" s="70"/>
      <c r="AD289" s="70"/>
      <c r="AE289" s="70"/>
      <c r="AF289" s="70"/>
      <c r="AG289" s="70"/>
    </row>
    <row r="290" spans="1:33" ht="15.75" customHeight="1">
      <c r="A290" s="70"/>
      <c r="B290" s="312"/>
      <c r="C290" s="69"/>
      <c r="D290" s="313"/>
      <c r="E290" s="67"/>
      <c r="F290" s="67"/>
      <c r="G290" s="67"/>
      <c r="H290" s="67"/>
      <c r="I290" s="67"/>
      <c r="J290" s="67"/>
      <c r="K290" s="67"/>
      <c r="L290" s="67"/>
      <c r="M290" s="67"/>
      <c r="N290" s="67"/>
      <c r="O290" s="67"/>
      <c r="P290" s="67"/>
      <c r="Q290" s="67"/>
      <c r="R290" s="67"/>
      <c r="S290" s="67"/>
      <c r="T290" s="67"/>
      <c r="U290" s="67"/>
      <c r="V290" s="67"/>
      <c r="W290" s="329"/>
      <c r="X290" s="329"/>
      <c r="Y290" s="329"/>
      <c r="Z290" s="329"/>
      <c r="AA290" s="539"/>
      <c r="AB290" s="70"/>
      <c r="AC290" s="70"/>
      <c r="AD290" s="70"/>
      <c r="AE290" s="70"/>
      <c r="AF290" s="70"/>
      <c r="AG290" s="70"/>
    </row>
    <row r="291" spans="1:33" ht="15.75" customHeight="1">
      <c r="A291" s="70"/>
      <c r="B291" s="312"/>
      <c r="C291" s="69"/>
      <c r="D291" s="313"/>
      <c r="E291" s="67"/>
      <c r="F291" s="67"/>
      <c r="G291" s="67"/>
      <c r="H291" s="67"/>
      <c r="I291" s="67"/>
      <c r="J291" s="67"/>
      <c r="K291" s="67"/>
      <c r="L291" s="67"/>
      <c r="M291" s="67"/>
      <c r="N291" s="67"/>
      <c r="O291" s="67"/>
      <c r="P291" s="67"/>
      <c r="Q291" s="67"/>
      <c r="R291" s="67"/>
      <c r="S291" s="67"/>
      <c r="T291" s="67"/>
      <c r="U291" s="67"/>
      <c r="V291" s="67"/>
      <c r="W291" s="329"/>
      <c r="X291" s="329"/>
      <c r="Y291" s="329"/>
      <c r="Z291" s="329"/>
      <c r="AA291" s="539"/>
      <c r="AB291" s="70"/>
      <c r="AC291" s="70"/>
      <c r="AD291" s="70"/>
      <c r="AE291" s="70"/>
      <c r="AF291" s="70"/>
      <c r="AG291" s="70"/>
    </row>
    <row r="292" spans="1:33" ht="15.75" customHeight="1">
      <c r="A292" s="70"/>
      <c r="B292" s="312"/>
      <c r="C292" s="69"/>
      <c r="D292" s="313"/>
      <c r="E292" s="67"/>
      <c r="F292" s="67"/>
      <c r="G292" s="67"/>
      <c r="H292" s="67"/>
      <c r="I292" s="67"/>
      <c r="J292" s="67"/>
      <c r="K292" s="67"/>
      <c r="L292" s="67"/>
      <c r="M292" s="67"/>
      <c r="N292" s="67"/>
      <c r="O292" s="67"/>
      <c r="P292" s="67"/>
      <c r="Q292" s="67"/>
      <c r="R292" s="67"/>
      <c r="S292" s="67"/>
      <c r="T292" s="67"/>
      <c r="U292" s="67"/>
      <c r="V292" s="67"/>
      <c r="W292" s="329"/>
      <c r="X292" s="329"/>
      <c r="Y292" s="329"/>
      <c r="Z292" s="329"/>
      <c r="AA292" s="539"/>
      <c r="AB292" s="70"/>
      <c r="AC292" s="70"/>
      <c r="AD292" s="70"/>
      <c r="AE292" s="70"/>
      <c r="AF292" s="70"/>
      <c r="AG292" s="70"/>
    </row>
    <row r="293" spans="1:33" ht="15.75" customHeight="1">
      <c r="A293" s="70"/>
      <c r="B293" s="312"/>
      <c r="C293" s="69"/>
      <c r="D293" s="313"/>
      <c r="E293" s="67"/>
      <c r="F293" s="67"/>
      <c r="G293" s="67"/>
      <c r="H293" s="67"/>
      <c r="I293" s="67"/>
      <c r="J293" s="67"/>
      <c r="K293" s="67"/>
      <c r="L293" s="67"/>
      <c r="M293" s="67"/>
      <c r="N293" s="67"/>
      <c r="O293" s="67"/>
      <c r="P293" s="67"/>
      <c r="Q293" s="67"/>
      <c r="R293" s="67"/>
      <c r="S293" s="67"/>
      <c r="T293" s="67"/>
      <c r="U293" s="67"/>
      <c r="V293" s="67"/>
      <c r="W293" s="329"/>
      <c r="X293" s="329"/>
      <c r="Y293" s="329"/>
      <c r="Z293" s="329"/>
      <c r="AA293" s="539"/>
      <c r="AB293" s="70"/>
      <c r="AC293" s="70"/>
      <c r="AD293" s="70"/>
      <c r="AE293" s="70"/>
      <c r="AF293" s="70"/>
      <c r="AG293" s="70"/>
    </row>
    <row r="294" spans="1:33" ht="15.75" customHeight="1">
      <c r="A294" s="70"/>
      <c r="B294" s="312"/>
      <c r="C294" s="69"/>
      <c r="D294" s="313"/>
      <c r="E294" s="67"/>
      <c r="F294" s="67"/>
      <c r="G294" s="67"/>
      <c r="H294" s="67"/>
      <c r="I294" s="67"/>
      <c r="J294" s="67"/>
      <c r="K294" s="67"/>
      <c r="L294" s="67"/>
      <c r="M294" s="67"/>
      <c r="N294" s="67"/>
      <c r="O294" s="67"/>
      <c r="P294" s="67"/>
      <c r="Q294" s="67"/>
      <c r="R294" s="67"/>
      <c r="S294" s="67"/>
      <c r="T294" s="67"/>
      <c r="U294" s="67"/>
      <c r="V294" s="67"/>
      <c r="W294" s="329"/>
      <c r="X294" s="329"/>
      <c r="Y294" s="329"/>
      <c r="Z294" s="329"/>
      <c r="AA294" s="539"/>
      <c r="AB294" s="70"/>
      <c r="AC294" s="70"/>
      <c r="AD294" s="70"/>
      <c r="AE294" s="70"/>
      <c r="AF294" s="70"/>
      <c r="AG294" s="70"/>
    </row>
    <row r="295" spans="1:33" ht="15.75" customHeight="1">
      <c r="A295" s="70"/>
      <c r="B295" s="312"/>
      <c r="C295" s="69"/>
      <c r="D295" s="313"/>
      <c r="E295" s="67"/>
      <c r="F295" s="67"/>
      <c r="G295" s="67"/>
      <c r="H295" s="67"/>
      <c r="I295" s="67"/>
      <c r="J295" s="67"/>
      <c r="K295" s="67"/>
      <c r="L295" s="67"/>
      <c r="M295" s="67"/>
      <c r="N295" s="67"/>
      <c r="O295" s="67"/>
      <c r="P295" s="67"/>
      <c r="Q295" s="67"/>
      <c r="R295" s="67"/>
      <c r="S295" s="67"/>
      <c r="T295" s="67"/>
      <c r="U295" s="67"/>
      <c r="V295" s="67"/>
      <c r="W295" s="329"/>
      <c r="X295" s="329"/>
      <c r="Y295" s="329"/>
      <c r="Z295" s="329"/>
      <c r="AA295" s="539"/>
      <c r="AB295" s="70"/>
      <c r="AC295" s="70"/>
      <c r="AD295" s="70"/>
      <c r="AE295" s="70"/>
      <c r="AF295" s="70"/>
      <c r="AG295" s="70"/>
    </row>
    <row r="296" spans="1:33" ht="15.75" customHeight="1">
      <c r="A296" s="70"/>
      <c r="B296" s="312"/>
      <c r="C296" s="69"/>
      <c r="D296" s="313"/>
      <c r="E296" s="67"/>
      <c r="F296" s="67"/>
      <c r="G296" s="67"/>
      <c r="H296" s="67"/>
      <c r="I296" s="67"/>
      <c r="J296" s="67"/>
      <c r="K296" s="67"/>
      <c r="L296" s="67"/>
      <c r="M296" s="67"/>
      <c r="N296" s="67"/>
      <c r="O296" s="67"/>
      <c r="P296" s="67"/>
      <c r="Q296" s="67"/>
      <c r="R296" s="67"/>
      <c r="S296" s="67"/>
      <c r="T296" s="67"/>
      <c r="U296" s="67"/>
      <c r="V296" s="67"/>
      <c r="W296" s="329"/>
      <c r="X296" s="329"/>
      <c r="Y296" s="329"/>
      <c r="Z296" s="329"/>
      <c r="AA296" s="539"/>
      <c r="AB296" s="70"/>
      <c r="AC296" s="70"/>
      <c r="AD296" s="70"/>
      <c r="AE296" s="70"/>
      <c r="AF296" s="70"/>
      <c r="AG296" s="70"/>
    </row>
    <row r="297" spans="1:33" ht="15.75" customHeight="1">
      <c r="A297" s="70"/>
      <c r="B297" s="312"/>
      <c r="C297" s="69"/>
      <c r="D297" s="313"/>
      <c r="E297" s="67"/>
      <c r="F297" s="67"/>
      <c r="G297" s="67"/>
      <c r="H297" s="67"/>
      <c r="I297" s="67"/>
      <c r="J297" s="67"/>
      <c r="K297" s="67"/>
      <c r="L297" s="67"/>
      <c r="M297" s="67"/>
      <c r="N297" s="67"/>
      <c r="O297" s="67"/>
      <c r="P297" s="67"/>
      <c r="Q297" s="67"/>
      <c r="R297" s="67"/>
      <c r="S297" s="67"/>
      <c r="T297" s="67"/>
      <c r="U297" s="67"/>
      <c r="V297" s="67"/>
      <c r="W297" s="329"/>
      <c r="X297" s="329"/>
      <c r="Y297" s="329"/>
      <c r="Z297" s="329"/>
      <c r="AA297" s="539"/>
      <c r="AB297" s="70"/>
      <c r="AC297" s="70"/>
      <c r="AD297" s="70"/>
      <c r="AE297" s="70"/>
      <c r="AF297" s="70"/>
      <c r="AG297" s="70"/>
    </row>
    <row r="298" spans="1:33" ht="15.75" customHeight="1">
      <c r="A298" s="70"/>
      <c r="B298" s="312"/>
      <c r="C298" s="69"/>
      <c r="D298" s="313"/>
      <c r="E298" s="67"/>
      <c r="F298" s="67"/>
      <c r="G298" s="67"/>
      <c r="H298" s="67"/>
      <c r="I298" s="67"/>
      <c r="J298" s="67"/>
      <c r="K298" s="67"/>
      <c r="L298" s="67"/>
      <c r="M298" s="67"/>
      <c r="N298" s="67"/>
      <c r="O298" s="67"/>
      <c r="P298" s="67"/>
      <c r="Q298" s="67"/>
      <c r="R298" s="67"/>
      <c r="S298" s="67"/>
      <c r="T298" s="67"/>
      <c r="U298" s="67"/>
      <c r="V298" s="67"/>
      <c r="W298" s="329"/>
      <c r="X298" s="329"/>
      <c r="Y298" s="329"/>
      <c r="Z298" s="329"/>
      <c r="AA298" s="539"/>
      <c r="AB298" s="70"/>
      <c r="AC298" s="70"/>
      <c r="AD298" s="70"/>
      <c r="AE298" s="70"/>
      <c r="AF298" s="70"/>
      <c r="AG298" s="70"/>
    </row>
    <row r="299" spans="1:33" ht="15.75" customHeight="1">
      <c r="A299" s="70"/>
      <c r="B299" s="312"/>
      <c r="C299" s="69"/>
      <c r="D299" s="313"/>
      <c r="E299" s="67"/>
      <c r="F299" s="67"/>
      <c r="G299" s="67"/>
      <c r="H299" s="67"/>
      <c r="I299" s="67"/>
      <c r="J299" s="67"/>
      <c r="K299" s="67"/>
      <c r="L299" s="67"/>
      <c r="M299" s="67"/>
      <c r="N299" s="67"/>
      <c r="O299" s="67"/>
      <c r="P299" s="67"/>
      <c r="Q299" s="67"/>
      <c r="R299" s="67"/>
      <c r="S299" s="67"/>
      <c r="T299" s="67"/>
      <c r="U299" s="67"/>
      <c r="V299" s="67"/>
      <c r="W299" s="329"/>
      <c r="X299" s="329"/>
      <c r="Y299" s="329"/>
      <c r="Z299" s="329"/>
      <c r="AA299" s="539"/>
      <c r="AB299" s="70"/>
      <c r="AC299" s="70"/>
      <c r="AD299" s="70"/>
      <c r="AE299" s="70"/>
      <c r="AF299" s="70"/>
      <c r="AG299" s="70"/>
    </row>
    <row r="300" spans="1:33" ht="15.75" customHeight="1">
      <c r="A300" s="70"/>
      <c r="B300" s="312"/>
      <c r="C300" s="69"/>
      <c r="D300" s="313"/>
      <c r="E300" s="67"/>
      <c r="F300" s="67"/>
      <c r="G300" s="67"/>
      <c r="H300" s="67"/>
      <c r="I300" s="67"/>
      <c r="J300" s="67"/>
      <c r="K300" s="67"/>
      <c r="L300" s="67"/>
      <c r="M300" s="67"/>
      <c r="N300" s="67"/>
      <c r="O300" s="67"/>
      <c r="P300" s="67"/>
      <c r="Q300" s="67"/>
      <c r="R300" s="67"/>
      <c r="S300" s="67"/>
      <c r="T300" s="67"/>
      <c r="U300" s="67"/>
      <c r="V300" s="67"/>
      <c r="W300" s="329"/>
      <c r="X300" s="329"/>
      <c r="Y300" s="329"/>
      <c r="Z300" s="329"/>
      <c r="AA300" s="539"/>
      <c r="AB300" s="70"/>
      <c r="AC300" s="70"/>
      <c r="AD300" s="70"/>
      <c r="AE300" s="70"/>
      <c r="AF300" s="70"/>
      <c r="AG300" s="70"/>
    </row>
    <row r="301" spans="1:33" ht="15.75" customHeight="1">
      <c r="A301" s="70"/>
      <c r="B301" s="312"/>
      <c r="C301" s="69"/>
      <c r="D301" s="313"/>
      <c r="E301" s="67"/>
      <c r="F301" s="67"/>
      <c r="G301" s="67"/>
      <c r="H301" s="67"/>
      <c r="I301" s="67"/>
      <c r="J301" s="67"/>
      <c r="K301" s="67"/>
      <c r="L301" s="67"/>
      <c r="M301" s="67"/>
      <c r="N301" s="67"/>
      <c r="O301" s="67"/>
      <c r="P301" s="67"/>
      <c r="Q301" s="67"/>
      <c r="R301" s="67"/>
      <c r="S301" s="67"/>
      <c r="T301" s="67"/>
      <c r="U301" s="67"/>
      <c r="V301" s="67"/>
      <c r="W301" s="329"/>
      <c r="X301" s="329"/>
      <c r="Y301" s="329"/>
      <c r="Z301" s="329"/>
      <c r="AA301" s="539"/>
      <c r="AB301" s="70"/>
      <c r="AC301" s="70"/>
      <c r="AD301" s="70"/>
      <c r="AE301" s="70"/>
      <c r="AF301" s="70"/>
      <c r="AG301" s="70"/>
    </row>
    <row r="302" spans="1:33" ht="15.75" customHeight="1">
      <c r="A302" s="70"/>
      <c r="B302" s="312"/>
      <c r="C302" s="69"/>
      <c r="D302" s="313"/>
      <c r="E302" s="67"/>
      <c r="F302" s="67"/>
      <c r="G302" s="67"/>
      <c r="H302" s="67"/>
      <c r="I302" s="67"/>
      <c r="J302" s="67"/>
      <c r="K302" s="67"/>
      <c r="L302" s="67"/>
      <c r="M302" s="67"/>
      <c r="N302" s="67"/>
      <c r="O302" s="67"/>
      <c r="P302" s="67"/>
      <c r="Q302" s="67"/>
      <c r="R302" s="67"/>
      <c r="S302" s="67"/>
      <c r="T302" s="67"/>
      <c r="U302" s="67"/>
      <c r="V302" s="67"/>
      <c r="W302" s="329"/>
      <c r="X302" s="329"/>
      <c r="Y302" s="329"/>
      <c r="Z302" s="329"/>
      <c r="AA302" s="539"/>
      <c r="AB302" s="70"/>
      <c r="AC302" s="70"/>
      <c r="AD302" s="70"/>
      <c r="AE302" s="70"/>
      <c r="AF302" s="70"/>
      <c r="AG302" s="70"/>
    </row>
    <row r="303" spans="1:33" ht="15.75" customHeight="1">
      <c r="A303" s="70"/>
      <c r="B303" s="312"/>
      <c r="C303" s="69"/>
      <c r="D303" s="313"/>
      <c r="E303" s="67"/>
      <c r="F303" s="67"/>
      <c r="G303" s="67"/>
      <c r="H303" s="67"/>
      <c r="I303" s="67"/>
      <c r="J303" s="67"/>
      <c r="K303" s="67"/>
      <c r="L303" s="67"/>
      <c r="M303" s="67"/>
      <c r="N303" s="67"/>
      <c r="O303" s="67"/>
      <c r="P303" s="67"/>
      <c r="Q303" s="67"/>
      <c r="R303" s="67"/>
      <c r="S303" s="67"/>
      <c r="T303" s="67"/>
      <c r="U303" s="67"/>
      <c r="V303" s="67"/>
      <c r="W303" s="329"/>
      <c r="X303" s="329"/>
      <c r="Y303" s="329"/>
      <c r="Z303" s="329"/>
      <c r="AA303" s="539"/>
      <c r="AB303" s="70"/>
      <c r="AC303" s="70"/>
      <c r="AD303" s="70"/>
      <c r="AE303" s="70"/>
      <c r="AF303" s="70"/>
      <c r="AG303" s="70"/>
    </row>
    <row r="304" spans="1:33" ht="15.75" customHeight="1">
      <c r="A304" s="70"/>
      <c r="B304" s="312"/>
      <c r="C304" s="69"/>
      <c r="D304" s="313"/>
      <c r="E304" s="67"/>
      <c r="F304" s="67"/>
      <c r="G304" s="67"/>
      <c r="H304" s="67"/>
      <c r="I304" s="67"/>
      <c r="J304" s="67"/>
      <c r="K304" s="67"/>
      <c r="L304" s="67"/>
      <c r="M304" s="67"/>
      <c r="N304" s="67"/>
      <c r="O304" s="67"/>
      <c r="P304" s="67"/>
      <c r="Q304" s="67"/>
      <c r="R304" s="67"/>
      <c r="S304" s="67"/>
      <c r="T304" s="67"/>
      <c r="U304" s="67"/>
      <c r="V304" s="67"/>
      <c r="W304" s="329"/>
      <c r="X304" s="329"/>
      <c r="Y304" s="329"/>
      <c r="Z304" s="329"/>
      <c r="AA304" s="539"/>
      <c r="AB304" s="70"/>
      <c r="AC304" s="70"/>
      <c r="AD304" s="70"/>
      <c r="AE304" s="70"/>
      <c r="AF304" s="70"/>
      <c r="AG304" s="70"/>
    </row>
    <row r="305" spans="1:33" ht="15.75" customHeight="1">
      <c r="A305" s="70"/>
      <c r="B305" s="312"/>
      <c r="C305" s="69"/>
      <c r="D305" s="313"/>
      <c r="E305" s="67"/>
      <c r="F305" s="67"/>
      <c r="G305" s="67"/>
      <c r="H305" s="67"/>
      <c r="I305" s="67"/>
      <c r="J305" s="67"/>
      <c r="K305" s="67"/>
      <c r="L305" s="67"/>
      <c r="M305" s="67"/>
      <c r="N305" s="67"/>
      <c r="O305" s="67"/>
      <c r="P305" s="67"/>
      <c r="Q305" s="67"/>
      <c r="R305" s="67"/>
      <c r="S305" s="67"/>
      <c r="T305" s="67"/>
      <c r="U305" s="67"/>
      <c r="V305" s="67"/>
      <c r="W305" s="329"/>
      <c r="X305" s="329"/>
      <c r="Y305" s="329"/>
      <c r="Z305" s="329"/>
      <c r="AA305" s="539"/>
      <c r="AB305" s="70"/>
      <c r="AC305" s="70"/>
      <c r="AD305" s="70"/>
      <c r="AE305" s="70"/>
      <c r="AF305" s="70"/>
      <c r="AG305" s="70"/>
    </row>
    <row r="306" spans="1:33" ht="15.75" customHeight="1">
      <c r="A306" s="70"/>
      <c r="B306" s="312"/>
      <c r="C306" s="69"/>
      <c r="D306" s="313"/>
      <c r="E306" s="67"/>
      <c r="F306" s="67"/>
      <c r="G306" s="67"/>
      <c r="H306" s="67"/>
      <c r="I306" s="67"/>
      <c r="J306" s="67"/>
      <c r="K306" s="67"/>
      <c r="L306" s="67"/>
      <c r="M306" s="67"/>
      <c r="N306" s="67"/>
      <c r="O306" s="67"/>
      <c r="P306" s="67"/>
      <c r="Q306" s="67"/>
      <c r="R306" s="67"/>
      <c r="S306" s="67"/>
      <c r="T306" s="67"/>
      <c r="U306" s="67"/>
      <c r="V306" s="67"/>
      <c r="W306" s="329"/>
      <c r="X306" s="329"/>
      <c r="Y306" s="329"/>
      <c r="Z306" s="329"/>
      <c r="AA306" s="539"/>
      <c r="AB306" s="70"/>
      <c r="AC306" s="70"/>
      <c r="AD306" s="70"/>
      <c r="AE306" s="70"/>
      <c r="AF306" s="70"/>
      <c r="AG306" s="70"/>
    </row>
    <row r="307" spans="1:33" ht="15.75" customHeight="1">
      <c r="A307" s="70"/>
      <c r="B307" s="312"/>
      <c r="C307" s="69"/>
      <c r="D307" s="313"/>
      <c r="E307" s="67"/>
      <c r="F307" s="67"/>
      <c r="G307" s="67"/>
      <c r="H307" s="67"/>
      <c r="I307" s="67"/>
      <c r="J307" s="67"/>
      <c r="K307" s="67"/>
      <c r="L307" s="67"/>
      <c r="M307" s="67"/>
      <c r="N307" s="67"/>
      <c r="O307" s="67"/>
      <c r="P307" s="67"/>
      <c r="Q307" s="67"/>
      <c r="R307" s="67"/>
      <c r="S307" s="67"/>
      <c r="T307" s="67"/>
      <c r="U307" s="67"/>
      <c r="V307" s="67"/>
      <c r="W307" s="329"/>
      <c r="X307" s="329"/>
      <c r="Y307" s="329"/>
      <c r="Z307" s="329"/>
      <c r="AA307" s="539"/>
      <c r="AB307" s="70"/>
      <c r="AC307" s="70"/>
      <c r="AD307" s="70"/>
      <c r="AE307" s="70"/>
      <c r="AF307" s="70"/>
      <c r="AG307" s="70"/>
    </row>
    <row r="308" spans="1:33" ht="15.75" customHeight="1">
      <c r="A308" s="70"/>
      <c r="B308" s="312"/>
      <c r="C308" s="69"/>
      <c r="D308" s="313"/>
      <c r="E308" s="67"/>
      <c r="F308" s="67"/>
      <c r="G308" s="67"/>
      <c r="H308" s="67"/>
      <c r="I308" s="67"/>
      <c r="J308" s="67"/>
      <c r="K308" s="67"/>
      <c r="L308" s="67"/>
      <c r="M308" s="67"/>
      <c r="N308" s="67"/>
      <c r="O308" s="67"/>
      <c r="P308" s="67"/>
      <c r="Q308" s="67"/>
      <c r="R308" s="67"/>
      <c r="S308" s="67"/>
      <c r="T308" s="67"/>
      <c r="U308" s="67"/>
      <c r="V308" s="67"/>
      <c r="W308" s="329"/>
      <c r="X308" s="329"/>
      <c r="Y308" s="329"/>
      <c r="Z308" s="329"/>
      <c r="AA308" s="539"/>
      <c r="AB308" s="70"/>
      <c r="AC308" s="70"/>
      <c r="AD308" s="70"/>
      <c r="AE308" s="70"/>
      <c r="AF308" s="70"/>
      <c r="AG308" s="70"/>
    </row>
    <row r="309" spans="1:33" ht="15.75" customHeight="1">
      <c r="A309" s="70"/>
      <c r="B309" s="312"/>
      <c r="C309" s="69"/>
      <c r="D309" s="313"/>
      <c r="E309" s="67"/>
      <c r="F309" s="67"/>
      <c r="G309" s="67"/>
      <c r="H309" s="67"/>
      <c r="I309" s="67"/>
      <c r="J309" s="67"/>
      <c r="K309" s="67"/>
      <c r="L309" s="67"/>
      <c r="M309" s="67"/>
      <c r="N309" s="67"/>
      <c r="O309" s="67"/>
      <c r="P309" s="67"/>
      <c r="Q309" s="67"/>
      <c r="R309" s="67"/>
      <c r="S309" s="67"/>
      <c r="T309" s="67"/>
      <c r="U309" s="67"/>
      <c r="V309" s="67"/>
      <c r="W309" s="329"/>
      <c r="X309" s="329"/>
      <c r="Y309" s="329"/>
      <c r="Z309" s="329"/>
      <c r="AA309" s="539"/>
      <c r="AB309" s="70"/>
      <c r="AC309" s="70"/>
      <c r="AD309" s="70"/>
      <c r="AE309" s="70"/>
      <c r="AF309" s="70"/>
      <c r="AG309" s="70"/>
    </row>
    <row r="310" spans="1:33" ht="15.75" customHeight="1">
      <c r="A310" s="70"/>
      <c r="B310" s="312"/>
      <c r="C310" s="69"/>
      <c r="D310" s="313"/>
      <c r="E310" s="67"/>
      <c r="F310" s="67"/>
      <c r="G310" s="67"/>
      <c r="H310" s="67"/>
      <c r="I310" s="67"/>
      <c r="J310" s="67"/>
      <c r="K310" s="67"/>
      <c r="L310" s="67"/>
      <c r="M310" s="67"/>
      <c r="N310" s="67"/>
      <c r="O310" s="67"/>
      <c r="P310" s="67"/>
      <c r="Q310" s="67"/>
      <c r="R310" s="67"/>
      <c r="S310" s="67"/>
      <c r="T310" s="67"/>
      <c r="U310" s="67"/>
      <c r="V310" s="67"/>
      <c r="W310" s="329"/>
      <c r="X310" s="329"/>
      <c r="Y310" s="329"/>
      <c r="Z310" s="329"/>
      <c r="AA310" s="539"/>
      <c r="AB310" s="70"/>
      <c r="AC310" s="70"/>
      <c r="AD310" s="70"/>
      <c r="AE310" s="70"/>
      <c r="AF310" s="70"/>
      <c r="AG310" s="70"/>
    </row>
    <row r="311" spans="1:33" ht="15.75" customHeight="1">
      <c r="A311" s="70"/>
      <c r="B311" s="312"/>
      <c r="C311" s="69"/>
      <c r="D311" s="313"/>
      <c r="E311" s="67"/>
      <c r="F311" s="67"/>
      <c r="G311" s="67"/>
      <c r="H311" s="67"/>
      <c r="I311" s="67"/>
      <c r="J311" s="67"/>
      <c r="K311" s="67"/>
      <c r="L311" s="67"/>
      <c r="M311" s="67"/>
      <c r="N311" s="67"/>
      <c r="O311" s="67"/>
      <c r="P311" s="67"/>
      <c r="Q311" s="67"/>
      <c r="R311" s="67"/>
      <c r="S311" s="67"/>
      <c r="T311" s="67"/>
      <c r="U311" s="67"/>
      <c r="V311" s="67"/>
      <c r="W311" s="329"/>
      <c r="X311" s="329"/>
      <c r="Y311" s="329"/>
      <c r="Z311" s="329"/>
      <c r="AA311" s="539"/>
      <c r="AB311" s="70"/>
      <c r="AC311" s="70"/>
      <c r="AD311" s="70"/>
      <c r="AE311" s="70"/>
      <c r="AF311" s="70"/>
      <c r="AG311" s="70"/>
    </row>
    <row r="312" spans="1:33" ht="15.75" customHeight="1">
      <c r="A312" s="70"/>
      <c r="B312" s="312"/>
      <c r="C312" s="69"/>
      <c r="D312" s="313"/>
      <c r="E312" s="67"/>
      <c r="F312" s="67"/>
      <c r="G312" s="67"/>
      <c r="H312" s="67"/>
      <c r="I312" s="67"/>
      <c r="J312" s="67"/>
      <c r="K312" s="67"/>
      <c r="L312" s="67"/>
      <c r="M312" s="67"/>
      <c r="N312" s="67"/>
      <c r="O312" s="67"/>
      <c r="P312" s="67"/>
      <c r="Q312" s="67"/>
      <c r="R312" s="67"/>
      <c r="S312" s="67"/>
      <c r="T312" s="67"/>
      <c r="U312" s="67"/>
      <c r="V312" s="67"/>
      <c r="W312" s="329"/>
      <c r="X312" s="329"/>
      <c r="Y312" s="329"/>
      <c r="Z312" s="329"/>
      <c r="AA312" s="539"/>
      <c r="AB312" s="70"/>
      <c r="AC312" s="70"/>
      <c r="AD312" s="70"/>
      <c r="AE312" s="70"/>
      <c r="AF312" s="70"/>
      <c r="AG312" s="70"/>
    </row>
    <row r="313" spans="1:33" ht="15.75" customHeight="1">
      <c r="A313" s="70"/>
      <c r="B313" s="312"/>
      <c r="C313" s="69"/>
      <c r="D313" s="313"/>
      <c r="E313" s="67"/>
      <c r="F313" s="67"/>
      <c r="G313" s="67"/>
      <c r="H313" s="67"/>
      <c r="I313" s="67"/>
      <c r="J313" s="67"/>
      <c r="K313" s="67"/>
      <c r="L313" s="67"/>
      <c r="M313" s="67"/>
      <c r="N313" s="67"/>
      <c r="O313" s="67"/>
      <c r="P313" s="67"/>
      <c r="Q313" s="67"/>
      <c r="R313" s="67"/>
      <c r="S313" s="67"/>
      <c r="T313" s="67"/>
      <c r="U313" s="67"/>
      <c r="V313" s="67"/>
      <c r="W313" s="329"/>
      <c r="X313" s="329"/>
      <c r="Y313" s="329"/>
      <c r="Z313" s="329"/>
      <c r="AA313" s="539"/>
      <c r="AB313" s="70"/>
      <c r="AC313" s="70"/>
      <c r="AD313" s="70"/>
      <c r="AE313" s="70"/>
      <c r="AF313" s="70"/>
      <c r="AG313" s="70"/>
    </row>
    <row r="314" spans="1:33" ht="15.75" customHeight="1">
      <c r="A314" s="70"/>
      <c r="B314" s="312"/>
      <c r="C314" s="69"/>
      <c r="D314" s="313"/>
      <c r="E314" s="67"/>
      <c r="F314" s="67"/>
      <c r="G314" s="67"/>
      <c r="H314" s="67"/>
      <c r="I314" s="67"/>
      <c r="J314" s="67"/>
      <c r="K314" s="67"/>
      <c r="L314" s="67"/>
      <c r="M314" s="67"/>
      <c r="N314" s="67"/>
      <c r="O314" s="67"/>
      <c r="P314" s="67"/>
      <c r="Q314" s="67"/>
      <c r="R314" s="67"/>
      <c r="S314" s="67"/>
      <c r="T314" s="67"/>
      <c r="U314" s="67"/>
      <c r="V314" s="67"/>
      <c r="W314" s="329"/>
      <c r="X314" s="329"/>
      <c r="Y314" s="329"/>
      <c r="Z314" s="329"/>
      <c r="AA314" s="539"/>
      <c r="AB314" s="70"/>
      <c r="AC314" s="70"/>
      <c r="AD314" s="70"/>
      <c r="AE314" s="70"/>
      <c r="AF314" s="70"/>
      <c r="AG314" s="70"/>
    </row>
    <row r="315" spans="1:33" ht="15.75" customHeight="1">
      <c r="A315" s="70"/>
      <c r="B315" s="312"/>
      <c r="C315" s="69"/>
      <c r="D315" s="313"/>
      <c r="E315" s="67"/>
      <c r="F315" s="67"/>
      <c r="G315" s="67"/>
      <c r="H315" s="67"/>
      <c r="I315" s="67"/>
      <c r="J315" s="67"/>
      <c r="K315" s="67"/>
      <c r="L315" s="67"/>
      <c r="M315" s="67"/>
      <c r="N315" s="67"/>
      <c r="O315" s="67"/>
      <c r="P315" s="67"/>
      <c r="Q315" s="67"/>
      <c r="R315" s="67"/>
      <c r="S315" s="67"/>
      <c r="T315" s="67"/>
      <c r="U315" s="67"/>
      <c r="V315" s="67"/>
      <c r="W315" s="329"/>
      <c r="X315" s="329"/>
      <c r="Y315" s="329"/>
      <c r="Z315" s="329"/>
      <c r="AA315" s="539"/>
      <c r="AB315" s="70"/>
      <c r="AC315" s="70"/>
      <c r="AD315" s="70"/>
      <c r="AE315" s="70"/>
      <c r="AF315" s="70"/>
      <c r="AG315" s="70"/>
    </row>
    <row r="316" spans="1:33" ht="15.75" customHeight="1">
      <c r="A316" s="70"/>
      <c r="B316" s="312"/>
      <c r="C316" s="69"/>
      <c r="D316" s="313"/>
      <c r="E316" s="67"/>
      <c r="F316" s="67"/>
      <c r="G316" s="67"/>
      <c r="H316" s="67"/>
      <c r="I316" s="67"/>
      <c r="J316" s="67"/>
      <c r="K316" s="67"/>
      <c r="L316" s="67"/>
      <c r="M316" s="67"/>
      <c r="N316" s="67"/>
      <c r="O316" s="67"/>
      <c r="P316" s="67"/>
      <c r="Q316" s="67"/>
      <c r="R316" s="67"/>
      <c r="S316" s="67"/>
      <c r="T316" s="67"/>
      <c r="U316" s="67"/>
      <c r="V316" s="67"/>
      <c r="W316" s="329"/>
      <c r="X316" s="329"/>
      <c r="Y316" s="329"/>
      <c r="Z316" s="329"/>
      <c r="AA316" s="539"/>
      <c r="AB316" s="70"/>
      <c r="AC316" s="70"/>
      <c r="AD316" s="70"/>
      <c r="AE316" s="70"/>
      <c r="AF316" s="70"/>
      <c r="AG316" s="70"/>
    </row>
    <row r="317" spans="1:33" ht="15.75" customHeight="1">
      <c r="A317" s="70"/>
      <c r="B317" s="312"/>
      <c r="C317" s="69"/>
      <c r="D317" s="313"/>
      <c r="E317" s="67"/>
      <c r="F317" s="67"/>
      <c r="G317" s="67"/>
      <c r="H317" s="67"/>
      <c r="I317" s="67"/>
      <c r="J317" s="67"/>
      <c r="K317" s="67"/>
      <c r="L317" s="67"/>
      <c r="M317" s="67"/>
      <c r="N317" s="67"/>
      <c r="O317" s="67"/>
      <c r="P317" s="67"/>
      <c r="Q317" s="67"/>
      <c r="R317" s="67"/>
      <c r="S317" s="67"/>
      <c r="T317" s="67"/>
      <c r="U317" s="67"/>
      <c r="V317" s="67"/>
      <c r="W317" s="329"/>
      <c r="X317" s="329"/>
      <c r="Y317" s="329"/>
      <c r="Z317" s="329"/>
      <c r="AA317" s="539"/>
      <c r="AB317" s="70"/>
      <c r="AC317" s="70"/>
      <c r="AD317" s="70"/>
      <c r="AE317" s="70"/>
      <c r="AF317" s="70"/>
      <c r="AG317" s="70"/>
    </row>
    <row r="318" spans="1:33" ht="15.75" customHeight="1">
      <c r="A318" s="70"/>
      <c r="B318" s="312"/>
      <c r="C318" s="69"/>
      <c r="D318" s="313"/>
      <c r="E318" s="67"/>
      <c r="F318" s="67"/>
      <c r="G318" s="67"/>
      <c r="H318" s="67"/>
      <c r="I318" s="67"/>
      <c r="J318" s="67"/>
      <c r="K318" s="67"/>
      <c r="L318" s="67"/>
      <c r="M318" s="67"/>
      <c r="N318" s="67"/>
      <c r="O318" s="67"/>
      <c r="P318" s="67"/>
      <c r="Q318" s="67"/>
      <c r="R318" s="67"/>
      <c r="S318" s="67"/>
      <c r="T318" s="67"/>
      <c r="U318" s="67"/>
      <c r="V318" s="67"/>
      <c r="W318" s="329"/>
      <c r="X318" s="329"/>
      <c r="Y318" s="329"/>
      <c r="Z318" s="329"/>
      <c r="AA318" s="539"/>
      <c r="AB318" s="70"/>
      <c r="AC318" s="70"/>
      <c r="AD318" s="70"/>
      <c r="AE318" s="70"/>
      <c r="AF318" s="70"/>
      <c r="AG318" s="70"/>
    </row>
    <row r="319" spans="1:33" ht="15.75" customHeight="1">
      <c r="A319" s="70"/>
      <c r="B319" s="312"/>
      <c r="C319" s="69"/>
      <c r="D319" s="313"/>
      <c r="E319" s="67"/>
      <c r="F319" s="67"/>
      <c r="G319" s="67"/>
      <c r="H319" s="67"/>
      <c r="I319" s="67"/>
      <c r="J319" s="67"/>
      <c r="K319" s="67"/>
      <c r="L319" s="67"/>
      <c r="M319" s="67"/>
      <c r="N319" s="67"/>
      <c r="O319" s="67"/>
      <c r="P319" s="67"/>
      <c r="Q319" s="67"/>
      <c r="R319" s="67"/>
      <c r="S319" s="67"/>
      <c r="T319" s="67"/>
      <c r="U319" s="67"/>
      <c r="V319" s="67"/>
      <c r="W319" s="329"/>
      <c r="X319" s="329"/>
      <c r="Y319" s="329"/>
      <c r="Z319" s="329"/>
      <c r="AA319" s="539"/>
      <c r="AB319" s="70"/>
      <c r="AC319" s="70"/>
      <c r="AD319" s="70"/>
      <c r="AE319" s="70"/>
      <c r="AF319" s="70"/>
      <c r="AG319" s="70"/>
    </row>
    <row r="320" spans="1:33" ht="15.75" customHeight="1">
      <c r="A320" s="70"/>
      <c r="B320" s="312"/>
      <c r="C320" s="69"/>
      <c r="D320" s="313"/>
      <c r="E320" s="67"/>
      <c r="F320" s="67"/>
      <c r="G320" s="67"/>
      <c r="H320" s="67"/>
      <c r="I320" s="67"/>
      <c r="J320" s="67"/>
      <c r="K320" s="67"/>
      <c r="L320" s="67"/>
      <c r="M320" s="67"/>
      <c r="N320" s="67"/>
      <c r="O320" s="67"/>
      <c r="P320" s="67"/>
      <c r="Q320" s="67"/>
      <c r="R320" s="67"/>
      <c r="S320" s="67"/>
      <c r="T320" s="67"/>
      <c r="U320" s="67"/>
      <c r="V320" s="67"/>
      <c r="W320" s="329"/>
      <c r="X320" s="329"/>
      <c r="Y320" s="329"/>
      <c r="Z320" s="329"/>
      <c r="AA320" s="539"/>
      <c r="AB320" s="70"/>
      <c r="AC320" s="70"/>
      <c r="AD320" s="70"/>
      <c r="AE320" s="70"/>
      <c r="AF320" s="70"/>
      <c r="AG320" s="70"/>
    </row>
    <row r="321" spans="1:33" ht="15.75" customHeight="1">
      <c r="A321" s="70"/>
      <c r="B321" s="312"/>
      <c r="C321" s="69"/>
      <c r="D321" s="313"/>
      <c r="E321" s="67"/>
      <c r="F321" s="67"/>
      <c r="G321" s="67"/>
      <c r="H321" s="67"/>
      <c r="I321" s="67"/>
      <c r="J321" s="67"/>
      <c r="K321" s="67"/>
      <c r="L321" s="67"/>
      <c r="M321" s="67"/>
      <c r="N321" s="67"/>
      <c r="O321" s="67"/>
      <c r="P321" s="67"/>
      <c r="Q321" s="67"/>
      <c r="R321" s="67"/>
      <c r="S321" s="67"/>
      <c r="T321" s="67"/>
      <c r="U321" s="67"/>
      <c r="V321" s="67"/>
      <c r="W321" s="329"/>
      <c r="X321" s="329"/>
      <c r="Y321" s="329"/>
      <c r="Z321" s="329"/>
      <c r="AA321" s="539"/>
      <c r="AB321" s="70"/>
      <c r="AC321" s="70"/>
      <c r="AD321" s="70"/>
      <c r="AE321" s="70"/>
      <c r="AF321" s="70"/>
      <c r="AG321" s="70"/>
    </row>
    <row r="322" spans="1:33" ht="15.75" customHeight="1">
      <c r="A322" s="70"/>
      <c r="B322" s="312"/>
      <c r="C322" s="69"/>
      <c r="D322" s="313"/>
      <c r="E322" s="67"/>
      <c r="F322" s="67"/>
      <c r="G322" s="67"/>
      <c r="H322" s="67"/>
      <c r="I322" s="67"/>
      <c r="J322" s="67"/>
      <c r="K322" s="67"/>
      <c r="L322" s="67"/>
      <c r="M322" s="67"/>
      <c r="N322" s="67"/>
      <c r="O322" s="67"/>
      <c r="P322" s="67"/>
      <c r="Q322" s="67"/>
      <c r="R322" s="67"/>
      <c r="S322" s="67"/>
      <c r="T322" s="67"/>
      <c r="U322" s="67"/>
      <c r="V322" s="67"/>
      <c r="W322" s="329"/>
      <c r="X322" s="329"/>
      <c r="Y322" s="329"/>
      <c r="Z322" s="329"/>
      <c r="AA322" s="539"/>
      <c r="AB322" s="70"/>
      <c r="AC322" s="70"/>
      <c r="AD322" s="70"/>
      <c r="AE322" s="70"/>
      <c r="AF322" s="70"/>
      <c r="AG322" s="70"/>
    </row>
    <row r="323" spans="1:33" ht="15.75" customHeight="1">
      <c r="A323" s="70"/>
      <c r="B323" s="312"/>
      <c r="C323" s="69"/>
      <c r="D323" s="313"/>
      <c r="E323" s="67"/>
      <c r="F323" s="67"/>
      <c r="G323" s="67"/>
      <c r="H323" s="67"/>
      <c r="I323" s="67"/>
      <c r="J323" s="67"/>
      <c r="K323" s="67"/>
      <c r="L323" s="67"/>
      <c r="M323" s="67"/>
      <c r="N323" s="67"/>
      <c r="O323" s="67"/>
      <c r="P323" s="67"/>
      <c r="Q323" s="67"/>
      <c r="R323" s="67"/>
      <c r="S323" s="67"/>
      <c r="T323" s="67"/>
      <c r="U323" s="67"/>
      <c r="V323" s="67"/>
      <c r="W323" s="329"/>
      <c r="X323" s="329"/>
      <c r="Y323" s="329"/>
      <c r="Z323" s="329"/>
      <c r="AA323" s="539"/>
      <c r="AB323" s="70"/>
      <c r="AC323" s="70"/>
      <c r="AD323" s="70"/>
      <c r="AE323" s="70"/>
      <c r="AF323" s="70"/>
      <c r="AG323" s="70"/>
    </row>
    <row r="324" spans="1:33" ht="15.75" customHeight="1">
      <c r="A324" s="70"/>
      <c r="B324" s="312"/>
      <c r="C324" s="69"/>
      <c r="D324" s="313"/>
      <c r="E324" s="67"/>
      <c r="F324" s="67"/>
      <c r="G324" s="67"/>
      <c r="H324" s="67"/>
      <c r="I324" s="67"/>
      <c r="J324" s="67"/>
      <c r="K324" s="67"/>
      <c r="L324" s="67"/>
      <c r="M324" s="67"/>
      <c r="N324" s="67"/>
      <c r="O324" s="67"/>
      <c r="P324" s="67"/>
      <c r="Q324" s="67"/>
      <c r="R324" s="67"/>
      <c r="S324" s="67"/>
      <c r="T324" s="67"/>
      <c r="U324" s="67"/>
      <c r="V324" s="67"/>
      <c r="W324" s="329"/>
      <c r="X324" s="329"/>
      <c r="Y324" s="329"/>
      <c r="Z324" s="329"/>
      <c r="AA324" s="539"/>
      <c r="AB324" s="70"/>
      <c r="AC324" s="70"/>
      <c r="AD324" s="70"/>
      <c r="AE324" s="70"/>
      <c r="AF324" s="70"/>
      <c r="AG324" s="70"/>
    </row>
    <row r="325" spans="1:33" ht="15.75" customHeight="1">
      <c r="A325" s="70"/>
      <c r="B325" s="312"/>
      <c r="C325" s="69"/>
      <c r="D325" s="313"/>
      <c r="E325" s="67"/>
      <c r="F325" s="67"/>
      <c r="G325" s="67"/>
      <c r="H325" s="67"/>
      <c r="I325" s="67"/>
      <c r="J325" s="67"/>
      <c r="K325" s="67"/>
      <c r="L325" s="67"/>
      <c r="M325" s="67"/>
      <c r="N325" s="67"/>
      <c r="O325" s="67"/>
      <c r="P325" s="67"/>
      <c r="Q325" s="67"/>
      <c r="R325" s="67"/>
      <c r="S325" s="67"/>
      <c r="T325" s="67"/>
      <c r="U325" s="67"/>
      <c r="V325" s="67"/>
      <c r="W325" s="329"/>
      <c r="X325" s="329"/>
      <c r="Y325" s="329"/>
      <c r="Z325" s="329"/>
      <c r="AA325" s="539"/>
      <c r="AB325" s="70"/>
      <c r="AC325" s="70"/>
      <c r="AD325" s="70"/>
      <c r="AE325" s="70"/>
      <c r="AF325" s="70"/>
      <c r="AG325" s="70"/>
    </row>
    <row r="326" spans="1:33" ht="15.75" customHeight="1">
      <c r="A326" s="70"/>
      <c r="B326" s="312"/>
      <c r="C326" s="69"/>
      <c r="D326" s="313"/>
      <c r="E326" s="67"/>
      <c r="F326" s="67"/>
      <c r="G326" s="67"/>
      <c r="H326" s="67"/>
      <c r="I326" s="67"/>
      <c r="J326" s="67"/>
      <c r="K326" s="67"/>
      <c r="L326" s="67"/>
      <c r="M326" s="67"/>
      <c r="N326" s="67"/>
      <c r="O326" s="67"/>
      <c r="P326" s="67"/>
      <c r="Q326" s="67"/>
      <c r="R326" s="67"/>
      <c r="S326" s="67"/>
      <c r="T326" s="67"/>
      <c r="U326" s="67"/>
      <c r="V326" s="67"/>
      <c r="W326" s="329"/>
      <c r="X326" s="329"/>
      <c r="Y326" s="329"/>
      <c r="Z326" s="329"/>
      <c r="AA326" s="539"/>
      <c r="AB326" s="70"/>
      <c r="AC326" s="70"/>
      <c r="AD326" s="70"/>
      <c r="AE326" s="70"/>
      <c r="AF326" s="70"/>
      <c r="AG326" s="70"/>
    </row>
    <row r="327" spans="1:33" ht="15.75" customHeight="1">
      <c r="A327" s="70"/>
      <c r="B327" s="312"/>
      <c r="C327" s="69"/>
      <c r="D327" s="313"/>
      <c r="E327" s="67"/>
      <c r="F327" s="67"/>
      <c r="G327" s="67"/>
      <c r="H327" s="67"/>
      <c r="I327" s="67"/>
      <c r="J327" s="67"/>
      <c r="K327" s="67"/>
      <c r="L327" s="67"/>
      <c r="M327" s="67"/>
      <c r="N327" s="67"/>
      <c r="O327" s="67"/>
      <c r="P327" s="67"/>
      <c r="Q327" s="67"/>
      <c r="R327" s="67"/>
      <c r="S327" s="67"/>
      <c r="T327" s="67"/>
      <c r="U327" s="67"/>
      <c r="V327" s="67"/>
      <c r="W327" s="329"/>
      <c r="X327" s="329"/>
      <c r="Y327" s="329"/>
      <c r="Z327" s="329"/>
      <c r="AA327" s="539"/>
      <c r="AB327" s="70"/>
      <c r="AC327" s="70"/>
      <c r="AD327" s="70"/>
      <c r="AE327" s="70"/>
      <c r="AF327" s="70"/>
      <c r="AG327" s="70"/>
    </row>
    <row r="328" spans="1:33" ht="15.75" customHeight="1">
      <c r="A328" s="70"/>
      <c r="B328" s="312"/>
      <c r="C328" s="69"/>
      <c r="D328" s="313"/>
      <c r="E328" s="67"/>
      <c r="F328" s="67"/>
      <c r="G328" s="67"/>
      <c r="H328" s="67"/>
      <c r="I328" s="67"/>
      <c r="J328" s="67"/>
      <c r="K328" s="67"/>
      <c r="L328" s="67"/>
      <c r="M328" s="67"/>
      <c r="N328" s="67"/>
      <c r="O328" s="67"/>
      <c r="P328" s="67"/>
      <c r="Q328" s="67"/>
      <c r="R328" s="67"/>
      <c r="S328" s="67"/>
      <c r="T328" s="67"/>
      <c r="U328" s="67"/>
      <c r="V328" s="67"/>
      <c r="W328" s="329"/>
      <c r="X328" s="329"/>
      <c r="Y328" s="329"/>
      <c r="Z328" s="329"/>
      <c r="AA328" s="539"/>
      <c r="AB328" s="70"/>
      <c r="AC328" s="70"/>
      <c r="AD328" s="70"/>
      <c r="AE328" s="70"/>
      <c r="AF328" s="70"/>
      <c r="AG328" s="70"/>
    </row>
    <row r="329" spans="1:33" ht="15.75" customHeight="1">
      <c r="A329" s="70"/>
      <c r="B329" s="312"/>
      <c r="C329" s="69"/>
      <c r="D329" s="313"/>
      <c r="E329" s="67"/>
      <c r="F329" s="67"/>
      <c r="G329" s="67"/>
      <c r="H329" s="67"/>
      <c r="I329" s="67"/>
      <c r="J329" s="67"/>
      <c r="K329" s="67"/>
      <c r="L329" s="67"/>
      <c r="M329" s="67"/>
      <c r="N329" s="67"/>
      <c r="O329" s="67"/>
      <c r="P329" s="67"/>
      <c r="Q329" s="67"/>
      <c r="R329" s="67"/>
      <c r="S329" s="67"/>
      <c r="T329" s="67"/>
      <c r="U329" s="67"/>
      <c r="V329" s="67"/>
      <c r="W329" s="329"/>
      <c r="X329" s="329"/>
      <c r="Y329" s="329"/>
      <c r="Z329" s="329"/>
      <c r="AA329" s="539"/>
      <c r="AB329" s="70"/>
      <c r="AC329" s="70"/>
      <c r="AD329" s="70"/>
      <c r="AE329" s="70"/>
      <c r="AF329" s="70"/>
      <c r="AG329" s="70"/>
    </row>
    <row r="330" spans="1:33" ht="15.75" customHeight="1">
      <c r="A330" s="70"/>
      <c r="B330" s="312"/>
      <c r="C330" s="69"/>
      <c r="D330" s="313"/>
      <c r="E330" s="67"/>
      <c r="F330" s="67"/>
      <c r="G330" s="67"/>
      <c r="H330" s="67"/>
      <c r="I330" s="67"/>
      <c r="J330" s="67"/>
      <c r="K330" s="67"/>
      <c r="L330" s="67"/>
      <c r="M330" s="67"/>
      <c r="N330" s="67"/>
      <c r="O330" s="67"/>
      <c r="P330" s="67"/>
      <c r="Q330" s="67"/>
      <c r="R330" s="67"/>
      <c r="S330" s="67"/>
      <c r="T330" s="67"/>
      <c r="U330" s="67"/>
      <c r="V330" s="67"/>
      <c r="W330" s="329"/>
      <c r="X330" s="329"/>
      <c r="Y330" s="329"/>
      <c r="Z330" s="329"/>
      <c r="AA330" s="539"/>
      <c r="AB330" s="70"/>
      <c r="AC330" s="70"/>
      <c r="AD330" s="70"/>
      <c r="AE330" s="70"/>
      <c r="AF330" s="70"/>
      <c r="AG330" s="70"/>
    </row>
    <row r="331" spans="1:33" ht="15.75" customHeight="1">
      <c r="A331" s="70"/>
      <c r="B331" s="312"/>
      <c r="C331" s="69"/>
      <c r="D331" s="313"/>
      <c r="E331" s="67"/>
      <c r="F331" s="67"/>
      <c r="G331" s="67"/>
      <c r="H331" s="67"/>
      <c r="I331" s="67"/>
      <c r="J331" s="67"/>
      <c r="K331" s="67"/>
      <c r="L331" s="67"/>
      <c r="M331" s="67"/>
      <c r="N331" s="67"/>
      <c r="O331" s="67"/>
      <c r="P331" s="67"/>
      <c r="Q331" s="67"/>
      <c r="R331" s="67"/>
      <c r="S331" s="67"/>
      <c r="T331" s="67"/>
      <c r="U331" s="67"/>
      <c r="V331" s="67"/>
      <c r="W331" s="329"/>
      <c r="X331" s="329"/>
      <c r="Y331" s="329"/>
      <c r="Z331" s="329"/>
      <c r="AA331" s="539"/>
      <c r="AB331" s="70"/>
      <c r="AC331" s="70"/>
      <c r="AD331" s="70"/>
      <c r="AE331" s="70"/>
      <c r="AF331" s="70"/>
      <c r="AG331" s="70"/>
    </row>
    <row r="332" spans="1:33" ht="15.75" customHeight="1">
      <c r="A332" s="70"/>
      <c r="B332" s="312"/>
      <c r="C332" s="69"/>
      <c r="D332" s="313"/>
      <c r="E332" s="67"/>
      <c r="F332" s="67"/>
      <c r="G332" s="67"/>
      <c r="H332" s="67"/>
      <c r="I332" s="67"/>
      <c r="J332" s="67"/>
      <c r="K332" s="67"/>
      <c r="L332" s="67"/>
      <c r="M332" s="67"/>
      <c r="N332" s="67"/>
      <c r="O332" s="67"/>
      <c r="P332" s="67"/>
      <c r="Q332" s="67"/>
      <c r="R332" s="67"/>
      <c r="S332" s="67"/>
      <c r="T332" s="67"/>
      <c r="U332" s="67"/>
      <c r="V332" s="67"/>
      <c r="W332" s="329"/>
      <c r="X332" s="329"/>
      <c r="Y332" s="329"/>
      <c r="Z332" s="329"/>
      <c r="AA332" s="539"/>
      <c r="AB332" s="70"/>
      <c r="AC332" s="70"/>
      <c r="AD332" s="70"/>
      <c r="AE332" s="70"/>
      <c r="AF332" s="70"/>
      <c r="AG332" s="70"/>
    </row>
    <row r="333" spans="1:33" ht="15.75" customHeight="1">
      <c r="A333" s="70"/>
      <c r="B333" s="312"/>
      <c r="C333" s="69"/>
      <c r="D333" s="313"/>
      <c r="E333" s="67"/>
      <c r="F333" s="67"/>
      <c r="G333" s="67"/>
      <c r="H333" s="67"/>
      <c r="I333" s="67"/>
      <c r="J333" s="67"/>
      <c r="K333" s="67"/>
      <c r="L333" s="67"/>
      <c r="M333" s="67"/>
      <c r="N333" s="67"/>
      <c r="O333" s="67"/>
      <c r="P333" s="67"/>
      <c r="Q333" s="67"/>
      <c r="R333" s="67"/>
      <c r="S333" s="67"/>
      <c r="T333" s="67"/>
      <c r="U333" s="67"/>
      <c r="V333" s="67"/>
      <c r="W333" s="329"/>
      <c r="X333" s="329"/>
      <c r="Y333" s="329"/>
      <c r="Z333" s="329"/>
      <c r="AA333" s="539"/>
      <c r="AB333" s="70"/>
      <c r="AC333" s="70"/>
      <c r="AD333" s="70"/>
      <c r="AE333" s="70"/>
      <c r="AF333" s="70"/>
      <c r="AG333" s="70"/>
    </row>
    <row r="334" spans="1:33" ht="15.75" customHeight="1">
      <c r="A334" s="70"/>
      <c r="B334" s="312"/>
      <c r="C334" s="69"/>
      <c r="D334" s="313"/>
      <c r="E334" s="67"/>
      <c r="F334" s="67"/>
      <c r="G334" s="67"/>
      <c r="H334" s="67"/>
      <c r="I334" s="67"/>
      <c r="J334" s="67"/>
      <c r="K334" s="67"/>
      <c r="L334" s="67"/>
      <c r="M334" s="67"/>
      <c r="N334" s="67"/>
      <c r="O334" s="67"/>
      <c r="P334" s="67"/>
      <c r="Q334" s="67"/>
      <c r="R334" s="67"/>
      <c r="S334" s="67"/>
      <c r="T334" s="67"/>
      <c r="U334" s="67"/>
      <c r="V334" s="67"/>
      <c r="W334" s="329"/>
      <c r="X334" s="329"/>
      <c r="Y334" s="329"/>
      <c r="Z334" s="329"/>
      <c r="AA334" s="539"/>
      <c r="AB334" s="70"/>
      <c r="AC334" s="70"/>
      <c r="AD334" s="70"/>
      <c r="AE334" s="70"/>
      <c r="AF334" s="70"/>
      <c r="AG334" s="70"/>
    </row>
    <row r="335" spans="1:33" ht="15.75" customHeight="1">
      <c r="A335" s="70"/>
      <c r="B335" s="312"/>
      <c r="C335" s="69"/>
      <c r="D335" s="313"/>
      <c r="E335" s="67"/>
      <c r="F335" s="67"/>
      <c r="G335" s="67"/>
      <c r="H335" s="67"/>
      <c r="I335" s="67"/>
      <c r="J335" s="67"/>
      <c r="K335" s="67"/>
      <c r="L335" s="67"/>
      <c r="M335" s="67"/>
      <c r="N335" s="67"/>
      <c r="O335" s="67"/>
      <c r="P335" s="67"/>
      <c r="Q335" s="67"/>
      <c r="R335" s="67"/>
      <c r="S335" s="67"/>
      <c r="T335" s="67"/>
      <c r="U335" s="67"/>
      <c r="V335" s="67"/>
      <c r="W335" s="329"/>
      <c r="X335" s="329"/>
      <c r="Y335" s="329"/>
      <c r="Z335" s="329"/>
      <c r="AA335" s="539"/>
      <c r="AB335" s="70"/>
      <c r="AC335" s="70"/>
      <c r="AD335" s="70"/>
      <c r="AE335" s="70"/>
      <c r="AF335" s="70"/>
      <c r="AG335" s="70"/>
    </row>
    <row r="336" spans="1:33" ht="15.75" customHeight="1">
      <c r="A336" s="70"/>
      <c r="B336" s="312"/>
      <c r="C336" s="69"/>
      <c r="D336" s="313"/>
      <c r="E336" s="67"/>
      <c r="F336" s="67"/>
      <c r="G336" s="67"/>
      <c r="H336" s="67"/>
      <c r="I336" s="67"/>
      <c r="J336" s="67"/>
      <c r="K336" s="67"/>
      <c r="L336" s="67"/>
      <c r="M336" s="67"/>
      <c r="N336" s="67"/>
      <c r="O336" s="67"/>
      <c r="P336" s="67"/>
      <c r="Q336" s="67"/>
      <c r="R336" s="67"/>
      <c r="S336" s="67"/>
      <c r="T336" s="67"/>
      <c r="U336" s="67"/>
      <c r="V336" s="67"/>
      <c r="W336" s="329"/>
      <c r="X336" s="329"/>
      <c r="Y336" s="329"/>
      <c r="Z336" s="329"/>
      <c r="AA336" s="539"/>
      <c r="AB336" s="70"/>
      <c r="AC336" s="70"/>
      <c r="AD336" s="70"/>
      <c r="AE336" s="70"/>
      <c r="AF336" s="70"/>
      <c r="AG336" s="70"/>
    </row>
    <row r="337" spans="1:33" ht="15.75" customHeight="1">
      <c r="A337" s="70"/>
      <c r="B337" s="312"/>
      <c r="C337" s="69"/>
      <c r="D337" s="313"/>
      <c r="E337" s="67"/>
      <c r="F337" s="67"/>
      <c r="G337" s="67"/>
      <c r="H337" s="67"/>
      <c r="I337" s="67"/>
      <c r="J337" s="67"/>
      <c r="K337" s="67"/>
      <c r="L337" s="67"/>
      <c r="M337" s="67"/>
      <c r="N337" s="67"/>
      <c r="O337" s="67"/>
      <c r="P337" s="67"/>
      <c r="Q337" s="67"/>
      <c r="R337" s="67"/>
      <c r="S337" s="67"/>
      <c r="T337" s="67"/>
      <c r="U337" s="67"/>
      <c r="V337" s="67"/>
      <c r="W337" s="329"/>
      <c r="X337" s="329"/>
      <c r="Y337" s="329"/>
      <c r="Z337" s="329"/>
      <c r="AA337" s="539"/>
      <c r="AB337" s="70"/>
      <c r="AC337" s="70"/>
      <c r="AD337" s="70"/>
      <c r="AE337" s="70"/>
      <c r="AF337" s="70"/>
      <c r="AG337" s="70"/>
    </row>
    <row r="338" spans="1:33" ht="15.75" customHeight="1">
      <c r="A338" s="70"/>
      <c r="B338" s="312"/>
      <c r="C338" s="69"/>
      <c r="D338" s="313"/>
      <c r="E338" s="67"/>
      <c r="F338" s="67"/>
      <c r="G338" s="67"/>
      <c r="H338" s="67"/>
      <c r="I338" s="67"/>
      <c r="J338" s="67"/>
      <c r="K338" s="67"/>
      <c r="L338" s="67"/>
      <c r="M338" s="67"/>
      <c r="N338" s="67"/>
      <c r="O338" s="67"/>
      <c r="P338" s="67"/>
      <c r="Q338" s="67"/>
      <c r="R338" s="67"/>
      <c r="S338" s="67"/>
      <c r="T338" s="67"/>
      <c r="U338" s="67"/>
      <c r="V338" s="67"/>
      <c r="W338" s="329"/>
      <c r="X338" s="329"/>
      <c r="Y338" s="329"/>
      <c r="Z338" s="329"/>
      <c r="AA338" s="539"/>
      <c r="AB338" s="70"/>
      <c r="AC338" s="70"/>
      <c r="AD338" s="70"/>
      <c r="AE338" s="70"/>
      <c r="AF338" s="70"/>
      <c r="AG338" s="70"/>
    </row>
    <row r="339" spans="1:33" ht="15.75" customHeight="1">
      <c r="A339" s="70"/>
      <c r="B339" s="312"/>
      <c r="C339" s="69"/>
      <c r="D339" s="313"/>
      <c r="E339" s="67"/>
      <c r="F339" s="67"/>
      <c r="G339" s="67"/>
      <c r="H339" s="67"/>
      <c r="I339" s="67"/>
      <c r="J339" s="67"/>
      <c r="K339" s="67"/>
      <c r="L339" s="67"/>
      <c r="M339" s="67"/>
      <c r="N339" s="67"/>
      <c r="O339" s="67"/>
      <c r="P339" s="67"/>
      <c r="Q339" s="67"/>
      <c r="R339" s="67"/>
      <c r="S339" s="67"/>
      <c r="T339" s="67"/>
      <c r="U339" s="67"/>
      <c r="V339" s="67"/>
      <c r="W339" s="329"/>
      <c r="X339" s="329"/>
      <c r="Y339" s="329"/>
      <c r="Z339" s="329"/>
      <c r="AA339" s="539"/>
      <c r="AB339" s="70"/>
      <c r="AC339" s="70"/>
      <c r="AD339" s="70"/>
      <c r="AE339" s="70"/>
      <c r="AF339" s="70"/>
      <c r="AG339" s="70"/>
    </row>
    <row r="340" spans="1:33" ht="15.75" customHeight="1">
      <c r="A340" s="70"/>
      <c r="B340" s="312"/>
      <c r="C340" s="69"/>
      <c r="D340" s="313"/>
      <c r="E340" s="67"/>
      <c r="F340" s="67"/>
      <c r="G340" s="67"/>
      <c r="H340" s="67"/>
      <c r="I340" s="67"/>
      <c r="J340" s="67"/>
      <c r="K340" s="67"/>
      <c r="L340" s="67"/>
      <c r="M340" s="67"/>
      <c r="N340" s="67"/>
      <c r="O340" s="67"/>
      <c r="P340" s="67"/>
      <c r="Q340" s="67"/>
      <c r="R340" s="67"/>
      <c r="S340" s="67"/>
      <c r="T340" s="67"/>
      <c r="U340" s="67"/>
      <c r="V340" s="67"/>
      <c r="W340" s="329"/>
      <c r="X340" s="329"/>
      <c r="Y340" s="329"/>
      <c r="Z340" s="329"/>
      <c r="AA340" s="539"/>
      <c r="AB340" s="70"/>
      <c r="AC340" s="70"/>
      <c r="AD340" s="70"/>
      <c r="AE340" s="70"/>
      <c r="AF340" s="70"/>
      <c r="AG340" s="70"/>
    </row>
    <row r="341" spans="1:33" ht="15.75" customHeight="1">
      <c r="A341" s="70"/>
      <c r="B341" s="312"/>
      <c r="C341" s="69"/>
      <c r="D341" s="313"/>
      <c r="E341" s="67"/>
      <c r="F341" s="67"/>
      <c r="G341" s="67"/>
      <c r="H341" s="67"/>
      <c r="I341" s="67"/>
      <c r="J341" s="67"/>
      <c r="K341" s="67"/>
      <c r="L341" s="67"/>
      <c r="M341" s="67"/>
      <c r="N341" s="67"/>
      <c r="O341" s="67"/>
      <c r="P341" s="67"/>
      <c r="Q341" s="67"/>
      <c r="R341" s="67"/>
      <c r="S341" s="67"/>
      <c r="T341" s="67"/>
      <c r="U341" s="67"/>
      <c r="V341" s="67"/>
      <c r="W341" s="329"/>
      <c r="X341" s="329"/>
      <c r="Y341" s="329"/>
      <c r="Z341" s="329"/>
      <c r="AA341" s="539"/>
      <c r="AB341" s="70"/>
      <c r="AC341" s="70"/>
      <c r="AD341" s="70"/>
      <c r="AE341" s="70"/>
      <c r="AF341" s="70"/>
      <c r="AG341" s="70"/>
    </row>
    <row r="342" spans="1:33" ht="15.75" customHeight="1">
      <c r="A342" s="70"/>
      <c r="B342" s="312"/>
      <c r="C342" s="69"/>
      <c r="D342" s="313"/>
      <c r="E342" s="67"/>
      <c r="F342" s="67"/>
      <c r="G342" s="67"/>
      <c r="H342" s="67"/>
      <c r="I342" s="67"/>
      <c r="J342" s="67"/>
      <c r="K342" s="67"/>
      <c r="L342" s="67"/>
      <c r="M342" s="67"/>
      <c r="N342" s="67"/>
      <c r="O342" s="67"/>
      <c r="P342" s="67"/>
      <c r="Q342" s="67"/>
      <c r="R342" s="67"/>
      <c r="S342" s="67"/>
      <c r="T342" s="67"/>
      <c r="U342" s="67"/>
      <c r="V342" s="67"/>
      <c r="W342" s="329"/>
      <c r="X342" s="329"/>
      <c r="Y342" s="329"/>
      <c r="Z342" s="329"/>
      <c r="AA342" s="539"/>
      <c r="AB342" s="70"/>
      <c r="AC342" s="70"/>
      <c r="AD342" s="70"/>
      <c r="AE342" s="70"/>
      <c r="AF342" s="70"/>
      <c r="AG342" s="70"/>
    </row>
    <row r="343" spans="1:33" ht="15.75" customHeight="1">
      <c r="A343" s="70"/>
      <c r="B343" s="312"/>
      <c r="C343" s="69"/>
      <c r="D343" s="313"/>
      <c r="E343" s="67"/>
      <c r="F343" s="67"/>
      <c r="G343" s="67"/>
      <c r="H343" s="67"/>
      <c r="I343" s="67"/>
      <c r="J343" s="67"/>
      <c r="K343" s="67"/>
      <c r="L343" s="67"/>
      <c r="M343" s="67"/>
      <c r="N343" s="67"/>
      <c r="O343" s="67"/>
      <c r="P343" s="67"/>
      <c r="Q343" s="67"/>
      <c r="R343" s="67"/>
      <c r="S343" s="67"/>
      <c r="T343" s="67"/>
      <c r="U343" s="67"/>
      <c r="V343" s="67"/>
      <c r="W343" s="329"/>
      <c r="X343" s="329"/>
      <c r="Y343" s="329"/>
      <c r="Z343" s="329"/>
      <c r="AA343" s="539"/>
      <c r="AB343" s="70"/>
      <c r="AC343" s="70"/>
      <c r="AD343" s="70"/>
      <c r="AE343" s="70"/>
      <c r="AF343" s="70"/>
      <c r="AG343" s="70"/>
    </row>
    <row r="344" spans="1:33" ht="15.75" customHeight="1">
      <c r="A344" s="70"/>
      <c r="B344" s="312"/>
      <c r="C344" s="69"/>
      <c r="D344" s="313"/>
      <c r="E344" s="67"/>
      <c r="F344" s="67"/>
      <c r="G344" s="67"/>
      <c r="H344" s="67"/>
      <c r="I344" s="67"/>
      <c r="J344" s="67"/>
      <c r="K344" s="67"/>
      <c r="L344" s="67"/>
      <c r="M344" s="67"/>
      <c r="N344" s="67"/>
      <c r="O344" s="67"/>
      <c r="P344" s="67"/>
      <c r="Q344" s="67"/>
      <c r="R344" s="67"/>
      <c r="S344" s="67"/>
      <c r="T344" s="67"/>
      <c r="U344" s="67"/>
      <c r="V344" s="67"/>
      <c r="W344" s="329"/>
      <c r="X344" s="329"/>
      <c r="Y344" s="329"/>
      <c r="Z344" s="329"/>
      <c r="AA344" s="539"/>
      <c r="AB344" s="70"/>
      <c r="AC344" s="70"/>
      <c r="AD344" s="70"/>
      <c r="AE344" s="70"/>
      <c r="AF344" s="70"/>
      <c r="AG344" s="70"/>
    </row>
    <row r="345" spans="1:33" ht="15.75" customHeight="1">
      <c r="A345" s="70"/>
      <c r="B345" s="312"/>
      <c r="C345" s="69"/>
      <c r="D345" s="313"/>
      <c r="E345" s="67"/>
      <c r="F345" s="67"/>
      <c r="G345" s="67"/>
      <c r="H345" s="67"/>
      <c r="I345" s="67"/>
      <c r="J345" s="67"/>
      <c r="K345" s="67"/>
      <c r="L345" s="67"/>
      <c r="M345" s="67"/>
      <c r="N345" s="67"/>
      <c r="O345" s="67"/>
      <c r="P345" s="67"/>
      <c r="Q345" s="67"/>
      <c r="R345" s="67"/>
      <c r="S345" s="67"/>
      <c r="T345" s="67"/>
      <c r="U345" s="67"/>
      <c r="V345" s="67"/>
      <c r="W345" s="329"/>
      <c r="X345" s="329"/>
      <c r="Y345" s="329"/>
      <c r="Z345" s="329"/>
      <c r="AA345" s="539"/>
      <c r="AB345" s="70"/>
      <c r="AC345" s="70"/>
      <c r="AD345" s="70"/>
      <c r="AE345" s="70"/>
      <c r="AF345" s="70"/>
      <c r="AG345" s="70"/>
    </row>
    <row r="346" spans="1:33" ht="15.75" customHeight="1">
      <c r="A346" s="70"/>
      <c r="B346" s="312"/>
      <c r="C346" s="69"/>
      <c r="D346" s="313"/>
      <c r="E346" s="67"/>
      <c r="F346" s="67"/>
      <c r="G346" s="67"/>
      <c r="H346" s="67"/>
      <c r="I346" s="67"/>
      <c r="J346" s="67"/>
      <c r="K346" s="67"/>
      <c r="L346" s="67"/>
      <c r="M346" s="67"/>
      <c r="N346" s="67"/>
      <c r="O346" s="67"/>
      <c r="P346" s="67"/>
      <c r="Q346" s="67"/>
      <c r="R346" s="67"/>
      <c r="S346" s="67"/>
      <c r="T346" s="67"/>
      <c r="U346" s="67"/>
      <c r="V346" s="67"/>
      <c r="W346" s="329"/>
      <c r="X346" s="329"/>
      <c r="Y346" s="329"/>
      <c r="Z346" s="329"/>
      <c r="AA346" s="539"/>
      <c r="AB346" s="70"/>
      <c r="AC346" s="70"/>
      <c r="AD346" s="70"/>
      <c r="AE346" s="70"/>
      <c r="AF346" s="70"/>
      <c r="AG346" s="70"/>
    </row>
    <row r="347" spans="1:33" ht="15.75" customHeight="1">
      <c r="A347" s="70"/>
      <c r="B347" s="312"/>
      <c r="C347" s="69"/>
      <c r="D347" s="313"/>
      <c r="E347" s="67"/>
      <c r="F347" s="67"/>
      <c r="G347" s="67"/>
      <c r="H347" s="67"/>
      <c r="I347" s="67"/>
      <c r="J347" s="67"/>
      <c r="K347" s="67"/>
      <c r="L347" s="67"/>
      <c r="M347" s="67"/>
      <c r="N347" s="67"/>
      <c r="O347" s="67"/>
      <c r="P347" s="67"/>
      <c r="Q347" s="67"/>
      <c r="R347" s="67"/>
      <c r="S347" s="67"/>
      <c r="T347" s="67"/>
      <c r="U347" s="67"/>
      <c r="V347" s="67"/>
      <c r="W347" s="329"/>
      <c r="X347" s="329"/>
      <c r="Y347" s="329"/>
      <c r="Z347" s="329"/>
      <c r="AA347" s="539"/>
      <c r="AB347" s="70"/>
      <c r="AC347" s="70"/>
      <c r="AD347" s="70"/>
      <c r="AE347" s="70"/>
      <c r="AF347" s="70"/>
      <c r="AG347" s="70"/>
    </row>
    <row r="348" spans="1:33" ht="15.75" customHeight="1">
      <c r="A348" s="70"/>
      <c r="B348" s="312"/>
      <c r="C348" s="69"/>
      <c r="D348" s="313"/>
      <c r="E348" s="67"/>
      <c r="F348" s="67"/>
      <c r="G348" s="67"/>
      <c r="H348" s="67"/>
      <c r="I348" s="67"/>
      <c r="J348" s="67"/>
      <c r="K348" s="67"/>
      <c r="L348" s="67"/>
      <c r="M348" s="67"/>
      <c r="N348" s="67"/>
      <c r="O348" s="67"/>
      <c r="P348" s="67"/>
      <c r="Q348" s="67"/>
      <c r="R348" s="67"/>
      <c r="S348" s="67"/>
      <c r="T348" s="67"/>
      <c r="U348" s="67"/>
      <c r="V348" s="67"/>
      <c r="W348" s="329"/>
      <c r="X348" s="329"/>
      <c r="Y348" s="329"/>
      <c r="Z348" s="329"/>
      <c r="AA348" s="539"/>
      <c r="AB348" s="70"/>
      <c r="AC348" s="70"/>
      <c r="AD348" s="70"/>
      <c r="AE348" s="70"/>
      <c r="AF348" s="70"/>
      <c r="AG348" s="70"/>
    </row>
    <row r="349" spans="1:33" ht="15.75" customHeight="1">
      <c r="A349" s="70"/>
      <c r="B349" s="312"/>
      <c r="C349" s="69"/>
      <c r="D349" s="313"/>
      <c r="E349" s="67"/>
      <c r="F349" s="67"/>
      <c r="G349" s="67"/>
      <c r="H349" s="67"/>
      <c r="I349" s="67"/>
      <c r="J349" s="67"/>
      <c r="K349" s="67"/>
      <c r="L349" s="67"/>
      <c r="M349" s="67"/>
      <c r="N349" s="67"/>
      <c r="O349" s="67"/>
      <c r="P349" s="67"/>
      <c r="Q349" s="67"/>
      <c r="R349" s="67"/>
      <c r="S349" s="67"/>
      <c r="T349" s="67"/>
      <c r="U349" s="67"/>
      <c r="V349" s="67"/>
      <c r="W349" s="329"/>
      <c r="X349" s="329"/>
      <c r="Y349" s="329"/>
      <c r="Z349" s="329"/>
      <c r="AA349" s="539"/>
      <c r="AB349" s="70"/>
      <c r="AC349" s="70"/>
      <c r="AD349" s="70"/>
      <c r="AE349" s="70"/>
      <c r="AF349" s="70"/>
      <c r="AG349" s="70"/>
    </row>
    <row r="350" spans="1:33" ht="15.75" customHeight="1">
      <c r="A350" s="70"/>
      <c r="B350" s="312"/>
      <c r="C350" s="69"/>
      <c r="D350" s="313"/>
      <c r="E350" s="67"/>
      <c r="F350" s="67"/>
      <c r="G350" s="67"/>
      <c r="H350" s="67"/>
      <c r="I350" s="67"/>
      <c r="J350" s="67"/>
      <c r="K350" s="67"/>
      <c r="L350" s="67"/>
      <c r="M350" s="67"/>
      <c r="N350" s="67"/>
      <c r="O350" s="67"/>
      <c r="P350" s="67"/>
      <c r="Q350" s="67"/>
      <c r="R350" s="67"/>
      <c r="S350" s="67"/>
      <c r="T350" s="67"/>
      <c r="U350" s="67"/>
      <c r="V350" s="67"/>
      <c r="W350" s="329"/>
      <c r="X350" s="329"/>
      <c r="Y350" s="329"/>
      <c r="Z350" s="329"/>
      <c r="AA350" s="539"/>
      <c r="AB350" s="70"/>
      <c r="AC350" s="70"/>
      <c r="AD350" s="70"/>
      <c r="AE350" s="70"/>
      <c r="AF350" s="70"/>
      <c r="AG350" s="70"/>
    </row>
    <row r="351" spans="1:33" ht="15.75" customHeight="1">
      <c r="A351" s="70"/>
      <c r="B351" s="312"/>
      <c r="C351" s="69"/>
      <c r="D351" s="313"/>
      <c r="E351" s="67"/>
      <c r="F351" s="67"/>
      <c r="G351" s="67"/>
      <c r="H351" s="67"/>
      <c r="I351" s="67"/>
      <c r="J351" s="67"/>
      <c r="K351" s="67"/>
      <c r="L351" s="67"/>
      <c r="M351" s="67"/>
      <c r="N351" s="67"/>
      <c r="O351" s="67"/>
      <c r="P351" s="67"/>
      <c r="Q351" s="67"/>
      <c r="R351" s="67"/>
      <c r="S351" s="67"/>
      <c r="T351" s="67"/>
      <c r="U351" s="67"/>
      <c r="V351" s="67"/>
      <c r="W351" s="329"/>
      <c r="X351" s="329"/>
      <c r="Y351" s="329"/>
      <c r="Z351" s="329"/>
      <c r="AA351" s="539"/>
      <c r="AB351" s="70"/>
      <c r="AC351" s="70"/>
      <c r="AD351" s="70"/>
      <c r="AE351" s="70"/>
      <c r="AF351" s="70"/>
      <c r="AG351" s="70"/>
    </row>
    <row r="352" spans="1:33" ht="15.75" customHeight="1">
      <c r="A352" s="70"/>
      <c r="B352" s="312"/>
      <c r="C352" s="69"/>
      <c r="D352" s="313"/>
      <c r="E352" s="67"/>
      <c r="F352" s="67"/>
      <c r="G352" s="67"/>
      <c r="H352" s="67"/>
      <c r="I352" s="67"/>
      <c r="J352" s="67"/>
      <c r="K352" s="67"/>
      <c r="L352" s="67"/>
      <c r="M352" s="67"/>
      <c r="N352" s="67"/>
      <c r="O352" s="67"/>
      <c r="P352" s="67"/>
      <c r="Q352" s="67"/>
      <c r="R352" s="67"/>
      <c r="S352" s="67"/>
      <c r="T352" s="67"/>
      <c r="U352" s="67"/>
      <c r="V352" s="67"/>
      <c r="W352" s="329"/>
      <c r="X352" s="329"/>
      <c r="Y352" s="329"/>
      <c r="Z352" s="329"/>
      <c r="AA352" s="539"/>
      <c r="AB352" s="70"/>
      <c r="AC352" s="70"/>
      <c r="AD352" s="70"/>
      <c r="AE352" s="70"/>
      <c r="AF352" s="70"/>
      <c r="AG352" s="70"/>
    </row>
    <row r="353" spans="1:33" ht="15.75" customHeight="1">
      <c r="A353" s="70"/>
      <c r="B353" s="312"/>
      <c r="C353" s="69"/>
      <c r="D353" s="313"/>
      <c r="E353" s="67"/>
      <c r="F353" s="67"/>
      <c r="G353" s="67"/>
      <c r="H353" s="67"/>
      <c r="I353" s="67"/>
      <c r="J353" s="67"/>
      <c r="K353" s="67"/>
      <c r="L353" s="67"/>
      <c r="M353" s="67"/>
      <c r="N353" s="67"/>
      <c r="O353" s="67"/>
      <c r="P353" s="67"/>
      <c r="Q353" s="67"/>
      <c r="R353" s="67"/>
      <c r="S353" s="67"/>
      <c r="T353" s="67"/>
      <c r="U353" s="67"/>
      <c r="V353" s="67"/>
      <c r="W353" s="329"/>
      <c r="X353" s="329"/>
      <c r="Y353" s="329"/>
      <c r="Z353" s="329"/>
      <c r="AA353" s="539"/>
      <c r="AB353" s="70"/>
      <c r="AC353" s="70"/>
      <c r="AD353" s="70"/>
      <c r="AE353" s="70"/>
      <c r="AF353" s="70"/>
      <c r="AG353" s="70"/>
    </row>
    <row r="354" spans="1:33" ht="15.75" customHeight="1">
      <c r="A354" s="70"/>
      <c r="B354" s="312"/>
      <c r="C354" s="69"/>
      <c r="D354" s="313"/>
      <c r="E354" s="67"/>
      <c r="F354" s="67"/>
      <c r="G354" s="67"/>
      <c r="H354" s="67"/>
      <c r="I354" s="67"/>
      <c r="J354" s="67"/>
      <c r="K354" s="67"/>
      <c r="L354" s="67"/>
      <c r="M354" s="67"/>
      <c r="N354" s="67"/>
      <c r="O354" s="67"/>
      <c r="P354" s="67"/>
      <c r="Q354" s="67"/>
      <c r="R354" s="67"/>
      <c r="S354" s="67"/>
      <c r="T354" s="67"/>
      <c r="U354" s="67"/>
      <c r="V354" s="67"/>
      <c r="W354" s="329"/>
      <c r="X354" s="329"/>
      <c r="Y354" s="329"/>
      <c r="Z354" s="329"/>
      <c r="AA354" s="539"/>
      <c r="AB354" s="70"/>
      <c r="AC354" s="70"/>
      <c r="AD354" s="70"/>
      <c r="AE354" s="70"/>
      <c r="AF354" s="70"/>
      <c r="AG354" s="70"/>
    </row>
    <row r="355" spans="1:33" ht="15.75" customHeight="1">
      <c r="A355" s="70"/>
      <c r="B355" s="312"/>
      <c r="C355" s="69"/>
      <c r="D355" s="313"/>
      <c r="E355" s="67"/>
      <c r="F355" s="67"/>
      <c r="G355" s="67"/>
      <c r="H355" s="67"/>
      <c r="I355" s="67"/>
      <c r="J355" s="67"/>
      <c r="K355" s="67"/>
      <c r="L355" s="67"/>
      <c r="M355" s="67"/>
      <c r="N355" s="67"/>
      <c r="O355" s="67"/>
      <c r="P355" s="67"/>
      <c r="Q355" s="67"/>
      <c r="R355" s="67"/>
      <c r="S355" s="67"/>
      <c r="T355" s="67"/>
      <c r="U355" s="67"/>
      <c r="V355" s="67"/>
      <c r="W355" s="329"/>
      <c r="X355" s="329"/>
      <c r="Y355" s="329"/>
      <c r="Z355" s="329"/>
      <c r="AA355" s="539"/>
      <c r="AB355" s="70"/>
      <c r="AC355" s="70"/>
      <c r="AD355" s="70"/>
      <c r="AE355" s="70"/>
      <c r="AF355" s="70"/>
      <c r="AG355" s="70"/>
    </row>
    <row r="356" spans="1:33" ht="15.75" customHeight="1">
      <c r="A356" s="70"/>
      <c r="B356" s="312"/>
      <c r="C356" s="69"/>
      <c r="D356" s="313"/>
      <c r="E356" s="67"/>
      <c r="F356" s="67"/>
      <c r="G356" s="67"/>
      <c r="H356" s="67"/>
      <c r="I356" s="67"/>
      <c r="J356" s="67"/>
      <c r="K356" s="67"/>
      <c r="L356" s="67"/>
      <c r="M356" s="67"/>
      <c r="N356" s="67"/>
      <c r="O356" s="67"/>
      <c r="P356" s="67"/>
      <c r="Q356" s="67"/>
      <c r="R356" s="67"/>
      <c r="S356" s="67"/>
      <c r="T356" s="67"/>
      <c r="U356" s="67"/>
      <c r="V356" s="67"/>
      <c r="W356" s="329"/>
      <c r="X356" s="329"/>
      <c r="Y356" s="329"/>
      <c r="Z356" s="329"/>
      <c r="AA356" s="539"/>
      <c r="AB356" s="70"/>
      <c r="AC356" s="70"/>
      <c r="AD356" s="70"/>
      <c r="AE356" s="70"/>
      <c r="AF356" s="70"/>
      <c r="AG356" s="70"/>
    </row>
    <row r="357" spans="1:33" ht="15.75" customHeight="1">
      <c r="A357" s="70"/>
      <c r="B357" s="312"/>
      <c r="C357" s="69"/>
      <c r="D357" s="313"/>
      <c r="E357" s="67"/>
      <c r="F357" s="67"/>
      <c r="G357" s="67"/>
      <c r="H357" s="67"/>
      <c r="I357" s="67"/>
      <c r="J357" s="67"/>
      <c r="K357" s="67"/>
      <c r="L357" s="67"/>
      <c r="M357" s="67"/>
      <c r="N357" s="67"/>
      <c r="O357" s="67"/>
      <c r="P357" s="67"/>
      <c r="Q357" s="67"/>
      <c r="R357" s="67"/>
      <c r="S357" s="67"/>
      <c r="T357" s="67"/>
      <c r="U357" s="67"/>
      <c r="V357" s="67"/>
      <c r="W357" s="329"/>
      <c r="X357" s="329"/>
      <c r="Y357" s="329"/>
      <c r="Z357" s="329"/>
      <c r="AA357" s="539"/>
      <c r="AB357" s="70"/>
      <c r="AC357" s="70"/>
      <c r="AD357" s="70"/>
      <c r="AE357" s="70"/>
      <c r="AF357" s="70"/>
      <c r="AG357" s="70"/>
    </row>
    <row r="358" spans="1:33" ht="15.75" customHeight="1">
      <c r="A358" s="70"/>
      <c r="B358" s="312"/>
      <c r="C358" s="69"/>
      <c r="D358" s="313"/>
      <c r="E358" s="67"/>
      <c r="F358" s="67"/>
      <c r="G358" s="67"/>
      <c r="H358" s="67"/>
      <c r="I358" s="67"/>
      <c r="J358" s="67"/>
      <c r="K358" s="67"/>
      <c r="L358" s="67"/>
      <c r="M358" s="67"/>
      <c r="N358" s="67"/>
      <c r="O358" s="67"/>
      <c r="P358" s="67"/>
      <c r="Q358" s="67"/>
      <c r="R358" s="67"/>
      <c r="S358" s="67"/>
      <c r="T358" s="67"/>
      <c r="U358" s="67"/>
      <c r="V358" s="67"/>
      <c r="W358" s="329"/>
      <c r="X358" s="329"/>
      <c r="Y358" s="329"/>
      <c r="Z358" s="329"/>
      <c r="AA358" s="539"/>
      <c r="AB358" s="70"/>
      <c r="AC358" s="70"/>
      <c r="AD358" s="70"/>
      <c r="AE358" s="70"/>
      <c r="AF358" s="70"/>
      <c r="AG358" s="70"/>
    </row>
    <row r="359" spans="1:33" ht="15.75" customHeight="1">
      <c r="A359" s="70"/>
      <c r="B359" s="312"/>
      <c r="C359" s="69"/>
      <c r="D359" s="313"/>
      <c r="E359" s="67"/>
      <c r="F359" s="67"/>
      <c r="G359" s="67"/>
      <c r="H359" s="67"/>
      <c r="I359" s="67"/>
      <c r="J359" s="67"/>
      <c r="K359" s="67"/>
      <c r="L359" s="67"/>
      <c r="M359" s="67"/>
      <c r="N359" s="67"/>
      <c r="O359" s="67"/>
      <c r="P359" s="67"/>
      <c r="Q359" s="67"/>
      <c r="R359" s="67"/>
      <c r="S359" s="67"/>
      <c r="T359" s="67"/>
      <c r="U359" s="67"/>
      <c r="V359" s="67"/>
      <c r="W359" s="329"/>
      <c r="X359" s="329"/>
      <c r="Y359" s="329"/>
      <c r="Z359" s="329"/>
      <c r="AA359" s="539"/>
      <c r="AB359" s="70"/>
      <c r="AC359" s="70"/>
      <c r="AD359" s="70"/>
      <c r="AE359" s="70"/>
      <c r="AF359" s="70"/>
      <c r="AG359" s="70"/>
    </row>
    <row r="360" spans="1:33" ht="15.75" customHeight="1">
      <c r="A360" s="70"/>
      <c r="B360" s="312"/>
      <c r="C360" s="69"/>
      <c r="D360" s="313"/>
      <c r="E360" s="67"/>
      <c r="F360" s="67"/>
      <c r="G360" s="67"/>
      <c r="H360" s="67"/>
      <c r="I360" s="67"/>
      <c r="J360" s="67"/>
      <c r="K360" s="67"/>
      <c r="L360" s="67"/>
      <c r="M360" s="67"/>
      <c r="N360" s="67"/>
      <c r="O360" s="67"/>
      <c r="P360" s="67"/>
      <c r="Q360" s="67"/>
      <c r="R360" s="67"/>
      <c r="S360" s="67"/>
      <c r="T360" s="67"/>
      <c r="U360" s="67"/>
      <c r="V360" s="67"/>
      <c r="W360" s="329"/>
      <c r="X360" s="329"/>
      <c r="Y360" s="329"/>
      <c r="Z360" s="329"/>
      <c r="AA360" s="539"/>
      <c r="AB360" s="70"/>
      <c r="AC360" s="70"/>
      <c r="AD360" s="70"/>
      <c r="AE360" s="70"/>
      <c r="AF360" s="70"/>
      <c r="AG360" s="70"/>
    </row>
    <row r="361" spans="1:33" ht="15.75" customHeight="1">
      <c r="A361" s="70"/>
      <c r="B361" s="312"/>
      <c r="C361" s="69"/>
      <c r="D361" s="313"/>
      <c r="E361" s="67"/>
      <c r="F361" s="67"/>
      <c r="G361" s="67"/>
      <c r="H361" s="67"/>
      <c r="I361" s="67"/>
      <c r="J361" s="67"/>
      <c r="K361" s="67"/>
      <c r="L361" s="67"/>
      <c r="M361" s="67"/>
      <c r="N361" s="67"/>
      <c r="O361" s="67"/>
      <c r="P361" s="67"/>
      <c r="Q361" s="67"/>
      <c r="R361" s="67"/>
      <c r="S361" s="67"/>
      <c r="T361" s="67"/>
      <c r="U361" s="67"/>
      <c r="V361" s="67"/>
      <c r="W361" s="329"/>
      <c r="X361" s="329"/>
      <c r="Y361" s="329"/>
      <c r="Z361" s="329"/>
      <c r="AA361" s="539"/>
      <c r="AB361" s="70"/>
      <c r="AC361" s="70"/>
      <c r="AD361" s="70"/>
      <c r="AE361" s="70"/>
      <c r="AF361" s="70"/>
      <c r="AG361" s="70"/>
    </row>
    <row r="362" spans="1:33" ht="15.75" customHeight="1">
      <c r="A362" s="70"/>
      <c r="B362" s="312"/>
      <c r="C362" s="69"/>
      <c r="D362" s="313"/>
      <c r="E362" s="67"/>
      <c r="F362" s="67"/>
      <c r="G362" s="67"/>
      <c r="H362" s="67"/>
      <c r="I362" s="67"/>
      <c r="J362" s="67"/>
      <c r="K362" s="67"/>
      <c r="L362" s="67"/>
      <c r="M362" s="67"/>
      <c r="N362" s="67"/>
      <c r="O362" s="67"/>
      <c r="P362" s="67"/>
      <c r="Q362" s="67"/>
      <c r="R362" s="67"/>
      <c r="S362" s="67"/>
      <c r="T362" s="67"/>
      <c r="U362" s="67"/>
      <c r="V362" s="67"/>
      <c r="W362" s="329"/>
      <c r="X362" s="329"/>
      <c r="Y362" s="329"/>
      <c r="Z362" s="329"/>
      <c r="AA362" s="539"/>
      <c r="AB362" s="70"/>
      <c r="AC362" s="70"/>
      <c r="AD362" s="70"/>
      <c r="AE362" s="70"/>
      <c r="AF362" s="70"/>
      <c r="AG362" s="70"/>
    </row>
    <row r="363" spans="1:33" ht="15.75" customHeight="1">
      <c r="A363" s="70"/>
      <c r="B363" s="312"/>
      <c r="C363" s="69"/>
      <c r="D363" s="313"/>
      <c r="E363" s="67"/>
      <c r="F363" s="67"/>
      <c r="G363" s="67"/>
      <c r="H363" s="67"/>
      <c r="I363" s="67"/>
      <c r="J363" s="67"/>
      <c r="K363" s="67"/>
      <c r="L363" s="67"/>
      <c r="M363" s="67"/>
      <c r="N363" s="67"/>
      <c r="O363" s="67"/>
      <c r="P363" s="67"/>
      <c r="Q363" s="67"/>
      <c r="R363" s="67"/>
      <c r="S363" s="67"/>
      <c r="T363" s="67"/>
      <c r="U363" s="67"/>
      <c r="V363" s="67"/>
      <c r="W363" s="329"/>
      <c r="X363" s="329"/>
      <c r="Y363" s="329"/>
      <c r="Z363" s="329"/>
      <c r="AA363" s="539"/>
      <c r="AB363" s="70"/>
      <c r="AC363" s="70"/>
      <c r="AD363" s="70"/>
      <c r="AE363" s="70"/>
      <c r="AF363" s="70"/>
      <c r="AG363" s="70"/>
    </row>
    <row r="364" spans="1:33" ht="15.75" customHeight="1">
      <c r="A364" s="70"/>
      <c r="B364" s="312"/>
      <c r="C364" s="69"/>
      <c r="D364" s="313"/>
      <c r="E364" s="67"/>
      <c r="F364" s="67"/>
      <c r="G364" s="67"/>
      <c r="H364" s="67"/>
      <c r="I364" s="67"/>
      <c r="J364" s="67"/>
      <c r="K364" s="67"/>
      <c r="L364" s="67"/>
      <c r="M364" s="67"/>
      <c r="N364" s="67"/>
      <c r="O364" s="67"/>
      <c r="P364" s="67"/>
      <c r="Q364" s="67"/>
      <c r="R364" s="67"/>
      <c r="S364" s="67"/>
      <c r="T364" s="67"/>
      <c r="U364" s="67"/>
      <c r="V364" s="67"/>
      <c r="W364" s="329"/>
      <c r="X364" s="329"/>
      <c r="Y364" s="329"/>
      <c r="Z364" s="329"/>
      <c r="AA364" s="539"/>
      <c r="AB364" s="70"/>
      <c r="AC364" s="70"/>
      <c r="AD364" s="70"/>
      <c r="AE364" s="70"/>
      <c r="AF364" s="70"/>
      <c r="AG364" s="70"/>
    </row>
    <row r="365" spans="1:33" ht="15.75" customHeight="1">
      <c r="A365" s="70"/>
      <c r="B365" s="312"/>
      <c r="C365" s="69"/>
      <c r="D365" s="313"/>
      <c r="E365" s="67"/>
      <c r="F365" s="67"/>
      <c r="G365" s="67"/>
      <c r="H365" s="67"/>
      <c r="I365" s="67"/>
      <c r="J365" s="67"/>
      <c r="K365" s="67"/>
      <c r="L365" s="67"/>
      <c r="M365" s="67"/>
      <c r="N365" s="67"/>
      <c r="O365" s="67"/>
      <c r="P365" s="67"/>
      <c r="Q365" s="67"/>
      <c r="R365" s="67"/>
      <c r="S365" s="67"/>
      <c r="T365" s="67"/>
      <c r="U365" s="67"/>
      <c r="V365" s="67"/>
      <c r="W365" s="329"/>
      <c r="X365" s="329"/>
      <c r="Y365" s="329"/>
      <c r="Z365" s="329"/>
      <c r="AA365" s="539"/>
      <c r="AB365" s="70"/>
      <c r="AC365" s="70"/>
      <c r="AD365" s="70"/>
      <c r="AE365" s="70"/>
      <c r="AF365" s="70"/>
      <c r="AG365" s="70"/>
    </row>
    <row r="366" spans="1:33" ht="15.75" customHeight="1">
      <c r="A366" s="70"/>
      <c r="B366" s="312"/>
      <c r="C366" s="69"/>
      <c r="D366" s="313"/>
      <c r="E366" s="67"/>
      <c r="F366" s="67"/>
      <c r="G366" s="67"/>
      <c r="H366" s="67"/>
      <c r="I366" s="67"/>
      <c r="J366" s="67"/>
      <c r="K366" s="67"/>
      <c r="L366" s="67"/>
      <c r="M366" s="67"/>
      <c r="N366" s="67"/>
      <c r="O366" s="67"/>
      <c r="P366" s="67"/>
      <c r="Q366" s="67"/>
      <c r="R366" s="67"/>
      <c r="S366" s="67"/>
      <c r="T366" s="67"/>
      <c r="U366" s="67"/>
      <c r="V366" s="67"/>
      <c r="W366" s="329"/>
      <c r="X366" s="329"/>
      <c r="Y366" s="329"/>
      <c r="Z366" s="329"/>
      <c r="AA366" s="539"/>
      <c r="AB366" s="70"/>
      <c r="AC366" s="70"/>
      <c r="AD366" s="70"/>
      <c r="AE366" s="70"/>
      <c r="AF366" s="70"/>
      <c r="AG366" s="70"/>
    </row>
    <row r="367" spans="1:33" ht="15.75" customHeight="1">
      <c r="A367" s="70"/>
      <c r="B367" s="312"/>
      <c r="C367" s="69"/>
      <c r="D367" s="313"/>
      <c r="E367" s="67"/>
      <c r="F367" s="67"/>
      <c r="G367" s="67"/>
      <c r="H367" s="67"/>
      <c r="I367" s="67"/>
      <c r="J367" s="67"/>
      <c r="K367" s="67"/>
      <c r="L367" s="67"/>
      <c r="M367" s="67"/>
      <c r="N367" s="67"/>
      <c r="O367" s="67"/>
      <c r="P367" s="67"/>
      <c r="Q367" s="67"/>
      <c r="R367" s="67"/>
      <c r="S367" s="67"/>
      <c r="T367" s="67"/>
      <c r="U367" s="67"/>
      <c r="V367" s="67"/>
      <c r="W367" s="329"/>
      <c r="X367" s="329"/>
      <c r="Y367" s="329"/>
      <c r="Z367" s="329"/>
      <c r="AA367" s="539"/>
      <c r="AB367" s="70"/>
      <c r="AC367" s="70"/>
      <c r="AD367" s="70"/>
      <c r="AE367" s="70"/>
      <c r="AF367" s="70"/>
      <c r="AG367" s="70"/>
    </row>
    <row r="368" spans="1:33" ht="15.75" customHeight="1">
      <c r="A368" s="70"/>
      <c r="B368" s="312"/>
      <c r="C368" s="69"/>
      <c r="D368" s="313"/>
      <c r="E368" s="67"/>
      <c r="F368" s="67"/>
      <c r="G368" s="67"/>
      <c r="H368" s="67"/>
      <c r="I368" s="67"/>
      <c r="J368" s="67"/>
      <c r="K368" s="67"/>
      <c r="L368" s="67"/>
      <c r="M368" s="67"/>
      <c r="N368" s="67"/>
      <c r="O368" s="67"/>
      <c r="P368" s="67"/>
      <c r="Q368" s="67"/>
      <c r="R368" s="67"/>
      <c r="S368" s="67"/>
      <c r="T368" s="67"/>
      <c r="U368" s="67"/>
      <c r="V368" s="67"/>
      <c r="W368" s="329"/>
      <c r="X368" s="329"/>
      <c r="Y368" s="329"/>
      <c r="Z368" s="329"/>
      <c r="AA368" s="539"/>
      <c r="AB368" s="70"/>
      <c r="AC368" s="70"/>
      <c r="AD368" s="70"/>
      <c r="AE368" s="70"/>
      <c r="AF368" s="70"/>
      <c r="AG368" s="70"/>
    </row>
    <row r="369" spans="1:33" ht="15.75" customHeight="1">
      <c r="A369" s="70"/>
      <c r="B369" s="312"/>
      <c r="C369" s="69"/>
      <c r="D369" s="313"/>
      <c r="E369" s="67"/>
      <c r="F369" s="67"/>
      <c r="G369" s="67"/>
      <c r="H369" s="67"/>
      <c r="I369" s="67"/>
      <c r="J369" s="67"/>
      <c r="K369" s="67"/>
      <c r="L369" s="67"/>
      <c r="M369" s="67"/>
      <c r="N369" s="67"/>
      <c r="O369" s="67"/>
      <c r="P369" s="67"/>
      <c r="Q369" s="67"/>
      <c r="R369" s="67"/>
      <c r="S369" s="67"/>
      <c r="T369" s="67"/>
      <c r="U369" s="67"/>
      <c r="V369" s="67"/>
      <c r="W369" s="329"/>
      <c r="X369" s="329"/>
      <c r="Y369" s="329"/>
      <c r="Z369" s="329"/>
      <c r="AA369" s="539"/>
      <c r="AB369" s="70"/>
      <c r="AC369" s="70"/>
      <c r="AD369" s="70"/>
      <c r="AE369" s="70"/>
      <c r="AF369" s="70"/>
      <c r="AG369" s="70"/>
    </row>
    <row r="370" spans="1:33" ht="15.75" customHeight="1">
      <c r="A370" s="70"/>
      <c r="B370" s="312"/>
      <c r="C370" s="69"/>
      <c r="D370" s="313"/>
      <c r="E370" s="67"/>
      <c r="F370" s="67"/>
      <c r="G370" s="67"/>
      <c r="H370" s="67"/>
      <c r="I370" s="67"/>
      <c r="J370" s="67"/>
      <c r="K370" s="67"/>
      <c r="L370" s="67"/>
      <c r="M370" s="67"/>
      <c r="N370" s="67"/>
      <c r="O370" s="67"/>
      <c r="P370" s="67"/>
      <c r="Q370" s="67"/>
      <c r="R370" s="67"/>
      <c r="S370" s="67"/>
      <c r="T370" s="67"/>
      <c r="U370" s="67"/>
      <c r="V370" s="67"/>
      <c r="W370" s="329"/>
      <c r="X370" s="329"/>
      <c r="Y370" s="329"/>
      <c r="Z370" s="329"/>
      <c r="AA370" s="539"/>
      <c r="AB370" s="70"/>
      <c r="AC370" s="70"/>
      <c r="AD370" s="70"/>
      <c r="AE370" s="70"/>
      <c r="AF370" s="70"/>
      <c r="AG370" s="70"/>
    </row>
    <row r="371" spans="1:33" ht="15.75" customHeight="1">
      <c r="A371" s="70"/>
      <c r="B371" s="312"/>
      <c r="C371" s="69"/>
      <c r="D371" s="313"/>
      <c r="E371" s="67"/>
      <c r="F371" s="67"/>
      <c r="G371" s="67"/>
      <c r="H371" s="67"/>
      <c r="I371" s="67"/>
      <c r="J371" s="67"/>
      <c r="K371" s="67"/>
      <c r="L371" s="67"/>
      <c r="M371" s="67"/>
      <c r="N371" s="67"/>
      <c r="O371" s="67"/>
      <c r="P371" s="67"/>
      <c r="Q371" s="67"/>
      <c r="R371" s="67"/>
      <c r="S371" s="67"/>
      <c r="T371" s="67"/>
      <c r="U371" s="67"/>
      <c r="V371" s="67"/>
      <c r="W371" s="329"/>
      <c r="X371" s="329"/>
      <c r="Y371" s="329"/>
      <c r="Z371" s="329"/>
      <c r="AA371" s="539"/>
      <c r="AB371" s="70"/>
      <c r="AC371" s="70"/>
      <c r="AD371" s="70"/>
      <c r="AE371" s="70"/>
      <c r="AF371" s="70"/>
      <c r="AG371" s="70"/>
    </row>
    <row r="372" spans="1:33" ht="15.75" customHeight="1">
      <c r="A372" s="70"/>
      <c r="B372" s="312"/>
      <c r="C372" s="69"/>
      <c r="D372" s="313"/>
      <c r="E372" s="67"/>
      <c r="F372" s="67"/>
      <c r="G372" s="67"/>
      <c r="H372" s="67"/>
      <c r="I372" s="67"/>
      <c r="J372" s="67"/>
      <c r="K372" s="67"/>
      <c r="L372" s="67"/>
      <c r="M372" s="67"/>
      <c r="N372" s="67"/>
      <c r="O372" s="67"/>
      <c r="P372" s="67"/>
      <c r="Q372" s="67"/>
      <c r="R372" s="67"/>
      <c r="S372" s="67"/>
      <c r="T372" s="67"/>
      <c r="U372" s="67"/>
      <c r="V372" s="67"/>
      <c r="W372" s="329"/>
      <c r="X372" s="329"/>
      <c r="Y372" s="329"/>
      <c r="Z372" s="329"/>
      <c r="AA372" s="539"/>
      <c r="AB372" s="70"/>
      <c r="AC372" s="70"/>
      <c r="AD372" s="70"/>
      <c r="AE372" s="70"/>
      <c r="AF372" s="70"/>
      <c r="AG372" s="70"/>
    </row>
    <row r="373" spans="1:33" ht="15.75" customHeight="1">
      <c r="A373" s="70"/>
      <c r="B373" s="312"/>
      <c r="C373" s="69"/>
      <c r="D373" s="313"/>
      <c r="E373" s="67"/>
      <c r="F373" s="67"/>
      <c r="G373" s="67"/>
      <c r="H373" s="67"/>
      <c r="I373" s="67"/>
      <c r="J373" s="67"/>
      <c r="K373" s="67"/>
      <c r="L373" s="67"/>
      <c r="M373" s="67"/>
      <c r="N373" s="67"/>
      <c r="O373" s="67"/>
      <c r="P373" s="67"/>
      <c r="Q373" s="67"/>
      <c r="R373" s="67"/>
      <c r="S373" s="67"/>
      <c r="T373" s="67"/>
      <c r="U373" s="67"/>
      <c r="V373" s="67"/>
      <c r="W373" s="329"/>
      <c r="X373" s="329"/>
      <c r="Y373" s="329"/>
      <c r="Z373" s="329"/>
      <c r="AA373" s="539"/>
      <c r="AB373" s="70"/>
      <c r="AC373" s="70"/>
      <c r="AD373" s="70"/>
      <c r="AE373" s="70"/>
      <c r="AF373" s="70"/>
      <c r="AG373" s="70"/>
    </row>
    <row r="374" spans="1:33" ht="15.75" customHeight="1">
      <c r="A374" s="70"/>
      <c r="B374" s="312"/>
      <c r="C374" s="69"/>
      <c r="D374" s="313"/>
      <c r="E374" s="67"/>
      <c r="F374" s="67"/>
      <c r="G374" s="67"/>
      <c r="H374" s="67"/>
      <c r="I374" s="67"/>
      <c r="J374" s="67"/>
      <c r="K374" s="67"/>
      <c r="L374" s="67"/>
      <c r="M374" s="67"/>
      <c r="N374" s="67"/>
      <c r="O374" s="67"/>
      <c r="P374" s="67"/>
      <c r="Q374" s="67"/>
      <c r="R374" s="67"/>
      <c r="S374" s="67"/>
      <c r="T374" s="67"/>
      <c r="U374" s="67"/>
      <c r="V374" s="67"/>
      <c r="W374" s="329"/>
      <c r="X374" s="329"/>
      <c r="Y374" s="329"/>
      <c r="Z374" s="329"/>
      <c r="AA374" s="539"/>
      <c r="AB374" s="70"/>
      <c r="AC374" s="70"/>
      <c r="AD374" s="70"/>
      <c r="AE374" s="70"/>
      <c r="AF374" s="70"/>
      <c r="AG374" s="70"/>
    </row>
    <row r="375" spans="1:33" ht="15.75" customHeight="1">
      <c r="A375" s="70"/>
      <c r="B375" s="312"/>
      <c r="C375" s="69"/>
      <c r="D375" s="313"/>
      <c r="E375" s="67"/>
      <c r="F375" s="67"/>
      <c r="G375" s="67"/>
      <c r="H375" s="67"/>
      <c r="I375" s="67"/>
      <c r="J375" s="67"/>
      <c r="K375" s="67"/>
      <c r="L375" s="67"/>
      <c r="M375" s="67"/>
      <c r="N375" s="67"/>
      <c r="O375" s="67"/>
      <c r="P375" s="67"/>
      <c r="Q375" s="67"/>
      <c r="R375" s="67"/>
      <c r="S375" s="67"/>
      <c r="T375" s="67"/>
      <c r="U375" s="67"/>
      <c r="V375" s="67"/>
      <c r="W375" s="329"/>
      <c r="X375" s="329"/>
      <c r="Y375" s="329"/>
      <c r="Z375" s="329"/>
      <c r="AA375" s="539"/>
      <c r="AB375" s="70"/>
      <c r="AC375" s="70"/>
      <c r="AD375" s="70"/>
      <c r="AE375" s="70"/>
      <c r="AF375" s="70"/>
      <c r="AG375" s="70"/>
    </row>
    <row r="376" spans="1:33" ht="15.75" customHeight="1">
      <c r="A376" s="70"/>
      <c r="B376" s="312"/>
      <c r="C376" s="69"/>
      <c r="D376" s="313"/>
      <c r="E376" s="67"/>
      <c r="F376" s="67"/>
      <c r="G376" s="67"/>
      <c r="H376" s="67"/>
      <c r="I376" s="67"/>
      <c r="J376" s="67"/>
      <c r="K376" s="67"/>
      <c r="L376" s="67"/>
      <c r="M376" s="67"/>
      <c r="N376" s="67"/>
      <c r="O376" s="67"/>
      <c r="P376" s="67"/>
      <c r="Q376" s="67"/>
      <c r="R376" s="67"/>
      <c r="S376" s="67"/>
      <c r="T376" s="67"/>
      <c r="U376" s="67"/>
      <c r="V376" s="67"/>
      <c r="W376" s="329"/>
      <c r="X376" s="329"/>
      <c r="Y376" s="329"/>
      <c r="Z376" s="329"/>
      <c r="AA376" s="539"/>
      <c r="AB376" s="70"/>
      <c r="AC376" s="70"/>
      <c r="AD376" s="70"/>
      <c r="AE376" s="70"/>
      <c r="AF376" s="70"/>
      <c r="AG376" s="70"/>
    </row>
    <row r="377" spans="1:33" ht="15.75" customHeight="1">
      <c r="A377" s="70"/>
      <c r="B377" s="312"/>
      <c r="C377" s="69"/>
      <c r="D377" s="313"/>
      <c r="E377" s="67"/>
      <c r="F377" s="67"/>
      <c r="G377" s="67"/>
      <c r="H377" s="67"/>
      <c r="I377" s="67"/>
      <c r="J377" s="67"/>
      <c r="K377" s="67"/>
      <c r="L377" s="67"/>
      <c r="M377" s="67"/>
      <c r="N377" s="67"/>
      <c r="O377" s="67"/>
      <c r="P377" s="67"/>
      <c r="Q377" s="67"/>
      <c r="R377" s="67"/>
      <c r="S377" s="67"/>
      <c r="T377" s="67"/>
      <c r="U377" s="67"/>
      <c r="V377" s="67"/>
      <c r="W377" s="329"/>
      <c r="X377" s="329"/>
      <c r="Y377" s="329"/>
      <c r="Z377" s="329"/>
      <c r="AA377" s="539"/>
      <c r="AB377" s="70"/>
      <c r="AC377" s="70"/>
      <c r="AD377" s="70"/>
      <c r="AE377" s="70"/>
      <c r="AF377" s="70"/>
      <c r="AG377" s="70"/>
    </row>
    <row r="378" spans="1:33" ht="15.75" customHeight="1">
      <c r="A378" s="70"/>
      <c r="B378" s="312"/>
      <c r="C378" s="69"/>
      <c r="D378" s="313"/>
      <c r="E378" s="67"/>
      <c r="F378" s="67"/>
      <c r="G378" s="67"/>
      <c r="H378" s="67"/>
      <c r="I378" s="67"/>
      <c r="J378" s="67"/>
      <c r="K378" s="67"/>
      <c r="L378" s="67"/>
      <c r="M378" s="67"/>
      <c r="N378" s="67"/>
      <c r="O378" s="67"/>
      <c r="P378" s="67"/>
      <c r="Q378" s="67"/>
      <c r="R378" s="67"/>
      <c r="S378" s="67"/>
      <c r="T378" s="67"/>
      <c r="U378" s="67"/>
      <c r="V378" s="67"/>
      <c r="W378" s="329"/>
      <c r="X378" s="329"/>
      <c r="Y378" s="329"/>
      <c r="Z378" s="329"/>
      <c r="AA378" s="539"/>
      <c r="AB378" s="70"/>
      <c r="AC378" s="70"/>
      <c r="AD378" s="70"/>
      <c r="AE378" s="70"/>
      <c r="AF378" s="70"/>
      <c r="AG378" s="70"/>
    </row>
    <row r="379" spans="1:33" ht="15.75" customHeight="1">
      <c r="A379" s="70"/>
      <c r="B379" s="312"/>
      <c r="C379" s="69"/>
      <c r="D379" s="313"/>
      <c r="E379" s="67"/>
      <c r="F379" s="67"/>
      <c r="G379" s="67"/>
      <c r="H379" s="67"/>
      <c r="I379" s="67"/>
      <c r="J379" s="67"/>
      <c r="K379" s="67"/>
      <c r="L379" s="67"/>
      <c r="M379" s="67"/>
      <c r="N379" s="67"/>
      <c r="O379" s="67"/>
      <c r="P379" s="67"/>
      <c r="Q379" s="67"/>
      <c r="R379" s="67"/>
      <c r="S379" s="67"/>
      <c r="T379" s="67"/>
      <c r="U379" s="67"/>
      <c r="V379" s="67"/>
      <c r="W379" s="329"/>
      <c r="X379" s="329"/>
      <c r="Y379" s="329"/>
      <c r="Z379" s="329"/>
      <c r="AA379" s="539"/>
      <c r="AB379" s="70"/>
      <c r="AC379" s="70"/>
      <c r="AD379" s="70"/>
      <c r="AE379" s="70"/>
      <c r="AF379" s="70"/>
      <c r="AG379" s="70"/>
    </row>
    <row r="380" spans="1:33" ht="15.75" customHeight="1">
      <c r="A380" s="70"/>
      <c r="B380" s="312"/>
      <c r="C380" s="69"/>
      <c r="D380" s="313"/>
      <c r="E380" s="67"/>
      <c r="F380" s="67"/>
      <c r="G380" s="67"/>
      <c r="H380" s="67"/>
      <c r="I380" s="67"/>
      <c r="J380" s="67"/>
      <c r="K380" s="67"/>
      <c r="L380" s="67"/>
      <c r="M380" s="67"/>
      <c r="N380" s="67"/>
      <c r="O380" s="67"/>
      <c r="P380" s="67"/>
      <c r="Q380" s="67"/>
      <c r="R380" s="67"/>
      <c r="S380" s="67"/>
      <c r="T380" s="67"/>
      <c r="U380" s="67"/>
      <c r="V380" s="67"/>
      <c r="W380" s="329"/>
      <c r="X380" s="329"/>
      <c r="Y380" s="329"/>
      <c r="Z380" s="329"/>
      <c r="AA380" s="539"/>
      <c r="AB380" s="70"/>
      <c r="AC380" s="70"/>
      <c r="AD380" s="70"/>
      <c r="AE380" s="70"/>
      <c r="AF380" s="70"/>
      <c r="AG380" s="70"/>
    </row>
    <row r="381" spans="1:33" ht="15.75" customHeight="1">
      <c r="A381" s="70"/>
      <c r="B381" s="312"/>
      <c r="C381" s="69"/>
      <c r="D381" s="313"/>
      <c r="E381" s="67"/>
      <c r="F381" s="67"/>
      <c r="G381" s="67"/>
      <c r="H381" s="67"/>
      <c r="I381" s="67"/>
      <c r="J381" s="67"/>
      <c r="K381" s="67"/>
      <c r="L381" s="67"/>
      <c r="M381" s="67"/>
      <c r="N381" s="67"/>
      <c r="O381" s="67"/>
      <c r="P381" s="67"/>
      <c r="Q381" s="67"/>
      <c r="R381" s="67"/>
      <c r="S381" s="67"/>
      <c r="T381" s="67"/>
      <c r="U381" s="67"/>
      <c r="V381" s="67"/>
      <c r="W381" s="329"/>
      <c r="X381" s="329"/>
      <c r="Y381" s="329"/>
      <c r="Z381" s="329"/>
      <c r="AA381" s="539"/>
      <c r="AB381" s="70"/>
      <c r="AC381" s="70"/>
      <c r="AD381" s="70"/>
      <c r="AE381" s="70"/>
      <c r="AF381" s="70"/>
      <c r="AG381" s="70"/>
    </row>
    <row r="382" spans="1:33" ht="15.75" customHeight="1">
      <c r="A382" s="70"/>
      <c r="B382" s="312"/>
      <c r="C382" s="69"/>
      <c r="D382" s="313"/>
      <c r="E382" s="67"/>
      <c r="F382" s="67"/>
      <c r="G382" s="67"/>
      <c r="H382" s="67"/>
      <c r="I382" s="67"/>
      <c r="J382" s="67"/>
      <c r="K382" s="67"/>
      <c r="L382" s="67"/>
      <c r="M382" s="67"/>
      <c r="N382" s="67"/>
      <c r="O382" s="67"/>
      <c r="P382" s="67"/>
      <c r="Q382" s="67"/>
      <c r="R382" s="67"/>
      <c r="S382" s="67"/>
      <c r="T382" s="67"/>
      <c r="U382" s="67"/>
      <c r="V382" s="67"/>
      <c r="W382" s="329"/>
      <c r="X382" s="329"/>
      <c r="Y382" s="329"/>
      <c r="Z382" s="329"/>
      <c r="AA382" s="539"/>
      <c r="AB382" s="70"/>
      <c r="AC382" s="70"/>
      <c r="AD382" s="70"/>
      <c r="AE382" s="70"/>
      <c r="AF382" s="70"/>
      <c r="AG382" s="70"/>
    </row>
    <row r="383" spans="1:33" ht="15.75" customHeight="1">
      <c r="A383" s="70"/>
      <c r="B383" s="312"/>
      <c r="C383" s="69"/>
      <c r="D383" s="313"/>
      <c r="E383" s="67"/>
      <c r="F383" s="67"/>
      <c r="G383" s="67"/>
      <c r="H383" s="67"/>
      <c r="I383" s="67"/>
      <c r="J383" s="67"/>
      <c r="K383" s="67"/>
      <c r="L383" s="67"/>
      <c r="M383" s="67"/>
      <c r="N383" s="67"/>
      <c r="O383" s="67"/>
      <c r="P383" s="67"/>
      <c r="Q383" s="67"/>
      <c r="R383" s="67"/>
      <c r="S383" s="67"/>
      <c r="T383" s="67"/>
      <c r="U383" s="67"/>
      <c r="V383" s="67"/>
      <c r="W383" s="329"/>
      <c r="X383" s="329"/>
      <c r="Y383" s="329"/>
      <c r="Z383" s="329"/>
      <c r="AA383" s="539"/>
      <c r="AB383" s="70"/>
      <c r="AC383" s="70"/>
      <c r="AD383" s="70"/>
      <c r="AE383" s="70"/>
      <c r="AF383" s="70"/>
      <c r="AG383" s="70"/>
    </row>
    <row r="384" spans="1:33" ht="15.75" customHeight="1">
      <c r="A384" s="70"/>
      <c r="B384" s="312"/>
      <c r="C384" s="69"/>
      <c r="D384" s="313"/>
      <c r="E384" s="67"/>
      <c r="F384" s="67"/>
      <c r="G384" s="67"/>
      <c r="H384" s="67"/>
      <c r="I384" s="67"/>
      <c r="J384" s="67"/>
      <c r="K384" s="67"/>
      <c r="L384" s="67"/>
      <c r="M384" s="67"/>
      <c r="N384" s="67"/>
      <c r="O384" s="67"/>
      <c r="P384" s="67"/>
      <c r="Q384" s="67"/>
      <c r="R384" s="67"/>
      <c r="S384" s="67"/>
      <c r="T384" s="67"/>
      <c r="U384" s="67"/>
      <c r="V384" s="67"/>
      <c r="W384" s="329"/>
      <c r="X384" s="329"/>
      <c r="Y384" s="329"/>
      <c r="Z384" s="329"/>
      <c r="AA384" s="539"/>
      <c r="AB384" s="70"/>
      <c r="AC384" s="70"/>
      <c r="AD384" s="70"/>
      <c r="AE384" s="70"/>
      <c r="AF384" s="70"/>
      <c r="AG384" s="70"/>
    </row>
    <row r="385" spans="1:33" ht="15.75" customHeight="1">
      <c r="A385" s="70"/>
      <c r="B385" s="312"/>
      <c r="C385" s="69"/>
      <c r="D385" s="313"/>
      <c r="E385" s="67"/>
      <c r="F385" s="67"/>
      <c r="G385" s="67"/>
      <c r="H385" s="67"/>
      <c r="I385" s="67"/>
      <c r="J385" s="67"/>
      <c r="K385" s="67"/>
      <c r="L385" s="67"/>
      <c r="M385" s="67"/>
      <c r="N385" s="67"/>
      <c r="O385" s="67"/>
      <c r="P385" s="67"/>
      <c r="Q385" s="67"/>
      <c r="R385" s="67"/>
      <c r="S385" s="67"/>
      <c r="T385" s="67"/>
      <c r="U385" s="67"/>
      <c r="V385" s="67"/>
      <c r="W385" s="329"/>
      <c r="X385" s="329"/>
      <c r="Y385" s="329"/>
      <c r="Z385" s="329"/>
      <c r="AA385" s="539"/>
      <c r="AB385" s="70"/>
      <c r="AC385" s="70"/>
      <c r="AD385" s="70"/>
      <c r="AE385" s="70"/>
      <c r="AF385" s="70"/>
      <c r="AG385" s="70"/>
    </row>
    <row r="386" spans="1:33" ht="15.75" customHeight="1">
      <c r="A386" s="70"/>
      <c r="B386" s="312"/>
      <c r="C386" s="69"/>
      <c r="D386" s="313"/>
      <c r="E386" s="67"/>
      <c r="F386" s="67"/>
      <c r="G386" s="67"/>
      <c r="H386" s="67"/>
      <c r="I386" s="67"/>
      <c r="J386" s="67"/>
      <c r="K386" s="67"/>
      <c r="L386" s="67"/>
      <c r="M386" s="67"/>
      <c r="N386" s="67"/>
      <c r="O386" s="67"/>
      <c r="P386" s="67"/>
      <c r="Q386" s="67"/>
      <c r="R386" s="67"/>
      <c r="S386" s="67"/>
      <c r="T386" s="67"/>
      <c r="U386" s="67"/>
      <c r="V386" s="67"/>
      <c r="W386" s="329"/>
      <c r="X386" s="329"/>
      <c r="Y386" s="329"/>
      <c r="Z386" s="329"/>
      <c r="AA386" s="539"/>
      <c r="AB386" s="70"/>
      <c r="AC386" s="70"/>
      <c r="AD386" s="70"/>
      <c r="AE386" s="70"/>
      <c r="AF386" s="70"/>
      <c r="AG386" s="70"/>
    </row>
    <row r="387" spans="1:33" ht="15.75" customHeight="1">
      <c r="A387" s="70"/>
      <c r="B387" s="312"/>
      <c r="C387" s="69"/>
      <c r="D387" s="313"/>
      <c r="E387" s="67"/>
      <c r="F387" s="67"/>
      <c r="G387" s="67"/>
      <c r="H387" s="67"/>
      <c r="I387" s="67"/>
      <c r="J387" s="67"/>
      <c r="K387" s="67"/>
      <c r="L387" s="67"/>
      <c r="M387" s="67"/>
      <c r="N387" s="67"/>
      <c r="O387" s="67"/>
      <c r="P387" s="67"/>
      <c r="Q387" s="67"/>
      <c r="R387" s="67"/>
      <c r="S387" s="67"/>
      <c r="T387" s="67"/>
      <c r="U387" s="67"/>
      <c r="V387" s="67"/>
      <c r="W387" s="329"/>
      <c r="X387" s="329"/>
      <c r="Y387" s="329"/>
      <c r="Z387" s="329"/>
      <c r="AA387" s="539"/>
      <c r="AB387" s="70"/>
      <c r="AC387" s="70"/>
      <c r="AD387" s="70"/>
      <c r="AE387" s="70"/>
      <c r="AF387" s="70"/>
      <c r="AG387" s="70"/>
    </row>
    <row r="388" spans="1:33" ht="15.75" customHeight="1">
      <c r="A388" s="70"/>
      <c r="B388" s="312"/>
      <c r="C388" s="69"/>
      <c r="D388" s="313"/>
      <c r="E388" s="67"/>
      <c r="F388" s="67"/>
      <c r="G388" s="67"/>
      <c r="H388" s="67"/>
      <c r="I388" s="67"/>
      <c r="J388" s="67"/>
      <c r="K388" s="67"/>
      <c r="L388" s="67"/>
      <c r="M388" s="67"/>
      <c r="N388" s="67"/>
      <c r="O388" s="67"/>
      <c r="P388" s="67"/>
      <c r="Q388" s="67"/>
      <c r="R388" s="67"/>
      <c r="S388" s="67"/>
      <c r="T388" s="67"/>
      <c r="U388" s="67"/>
      <c r="V388" s="67"/>
      <c r="W388" s="329"/>
      <c r="X388" s="329"/>
      <c r="Y388" s="329"/>
      <c r="Z388" s="329"/>
      <c r="AA388" s="539"/>
      <c r="AB388" s="70"/>
      <c r="AC388" s="70"/>
      <c r="AD388" s="70"/>
      <c r="AE388" s="70"/>
      <c r="AF388" s="70"/>
      <c r="AG388" s="70"/>
    </row>
    <row r="389" spans="1:33" ht="15.75" customHeight="1">
      <c r="A389" s="70"/>
      <c r="B389" s="312"/>
      <c r="C389" s="69"/>
      <c r="D389" s="313"/>
      <c r="E389" s="67"/>
      <c r="F389" s="67"/>
      <c r="G389" s="67"/>
      <c r="H389" s="67"/>
      <c r="I389" s="67"/>
      <c r="J389" s="67"/>
      <c r="K389" s="67"/>
      <c r="L389" s="67"/>
      <c r="M389" s="67"/>
      <c r="N389" s="67"/>
      <c r="O389" s="67"/>
      <c r="P389" s="67"/>
      <c r="Q389" s="67"/>
      <c r="R389" s="67"/>
      <c r="S389" s="67"/>
      <c r="T389" s="67"/>
      <c r="U389" s="67"/>
      <c r="V389" s="67"/>
      <c r="W389" s="329"/>
      <c r="X389" s="329"/>
      <c r="Y389" s="329"/>
      <c r="Z389" s="329"/>
      <c r="AA389" s="539"/>
      <c r="AB389" s="70"/>
      <c r="AC389" s="70"/>
      <c r="AD389" s="70"/>
      <c r="AE389" s="70"/>
      <c r="AF389" s="70"/>
      <c r="AG389" s="70"/>
    </row>
    <row r="390" spans="1:33" ht="15.75" customHeight="1">
      <c r="A390" s="70"/>
      <c r="B390" s="312"/>
      <c r="C390" s="69"/>
      <c r="D390" s="313"/>
      <c r="E390" s="67"/>
      <c r="F390" s="67"/>
      <c r="G390" s="67"/>
      <c r="H390" s="67"/>
      <c r="I390" s="67"/>
      <c r="J390" s="67"/>
      <c r="K390" s="67"/>
      <c r="L390" s="67"/>
      <c r="M390" s="67"/>
      <c r="N390" s="67"/>
      <c r="O390" s="67"/>
      <c r="P390" s="67"/>
      <c r="Q390" s="67"/>
      <c r="R390" s="67"/>
      <c r="S390" s="67"/>
      <c r="T390" s="67"/>
      <c r="U390" s="67"/>
      <c r="V390" s="67"/>
      <c r="W390" s="329"/>
      <c r="X390" s="329"/>
      <c r="Y390" s="329"/>
      <c r="Z390" s="329"/>
      <c r="AA390" s="539"/>
      <c r="AB390" s="70"/>
      <c r="AC390" s="70"/>
      <c r="AD390" s="70"/>
      <c r="AE390" s="70"/>
      <c r="AF390" s="70"/>
      <c r="AG390" s="70"/>
    </row>
    <row r="391" spans="1:33" ht="15.75" customHeight="1">
      <c r="A391" s="70"/>
      <c r="B391" s="312"/>
      <c r="C391" s="69"/>
      <c r="D391" s="313"/>
      <c r="E391" s="67"/>
      <c r="F391" s="67"/>
      <c r="G391" s="67"/>
      <c r="H391" s="67"/>
      <c r="I391" s="67"/>
      <c r="J391" s="67"/>
      <c r="K391" s="67"/>
      <c r="L391" s="67"/>
      <c r="M391" s="67"/>
      <c r="N391" s="67"/>
      <c r="O391" s="67"/>
      <c r="P391" s="67"/>
      <c r="Q391" s="67"/>
      <c r="R391" s="67"/>
      <c r="S391" s="67"/>
      <c r="T391" s="67"/>
      <c r="U391" s="67"/>
      <c r="V391" s="67"/>
      <c r="W391" s="329"/>
      <c r="X391" s="329"/>
      <c r="Y391" s="329"/>
      <c r="Z391" s="329"/>
      <c r="AA391" s="539"/>
      <c r="AB391" s="70"/>
      <c r="AC391" s="70"/>
      <c r="AD391" s="70"/>
      <c r="AE391" s="70"/>
      <c r="AF391" s="70"/>
      <c r="AG391" s="70"/>
    </row>
    <row r="392" spans="1:33" ht="15.75" customHeight="1">
      <c r="A392" s="70"/>
      <c r="B392" s="312"/>
      <c r="C392" s="69"/>
      <c r="D392" s="313"/>
      <c r="E392" s="67"/>
      <c r="F392" s="67"/>
      <c r="G392" s="67"/>
      <c r="H392" s="67"/>
      <c r="I392" s="67"/>
      <c r="J392" s="67"/>
      <c r="K392" s="67"/>
      <c r="L392" s="67"/>
      <c r="M392" s="67"/>
      <c r="N392" s="67"/>
      <c r="O392" s="67"/>
      <c r="P392" s="67"/>
      <c r="Q392" s="67"/>
      <c r="R392" s="67"/>
      <c r="S392" s="67"/>
      <c r="T392" s="67"/>
      <c r="U392" s="67"/>
      <c r="V392" s="67"/>
      <c r="W392" s="329"/>
      <c r="X392" s="329"/>
      <c r="Y392" s="329"/>
      <c r="Z392" s="329"/>
      <c r="AA392" s="539"/>
      <c r="AB392" s="70"/>
      <c r="AC392" s="70"/>
      <c r="AD392" s="70"/>
      <c r="AE392" s="70"/>
      <c r="AF392" s="70"/>
      <c r="AG392" s="70"/>
    </row>
    <row r="393" spans="1:33" ht="15.75" customHeight="1">
      <c r="A393" s="70"/>
      <c r="B393" s="312"/>
      <c r="C393" s="69"/>
      <c r="D393" s="313"/>
      <c r="E393" s="67"/>
      <c r="F393" s="67"/>
      <c r="G393" s="67"/>
      <c r="H393" s="67"/>
      <c r="I393" s="67"/>
      <c r="J393" s="67"/>
      <c r="K393" s="67"/>
      <c r="L393" s="67"/>
      <c r="M393" s="67"/>
      <c r="N393" s="67"/>
      <c r="O393" s="67"/>
      <c r="P393" s="67"/>
      <c r="Q393" s="67"/>
      <c r="R393" s="67"/>
      <c r="S393" s="67"/>
      <c r="T393" s="67"/>
      <c r="U393" s="67"/>
      <c r="V393" s="67"/>
      <c r="W393" s="329"/>
      <c r="X393" s="329"/>
      <c r="Y393" s="329"/>
      <c r="Z393" s="329"/>
      <c r="AA393" s="539"/>
      <c r="AB393" s="70"/>
      <c r="AC393" s="70"/>
      <c r="AD393" s="70"/>
      <c r="AE393" s="70"/>
      <c r="AF393" s="70"/>
      <c r="AG393" s="70"/>
    </row>
    <row r="394" spans="1:33" ht="15.75" customHeight="1">
      <c r="A394" s="70"/>
      <c r="B394" s="312"/>
      <c r="C394" s="69"/>
      <c r="D394" s="313"/>
      <c r="E394" s="67"/>
      <c r="F394" s="67"/>
      <c r="G394" s="67"/>
      <c r="H394" s="67"/>
      <c r="I394" s="67"/>
      <c r="J394" s="67"/>
      <c r="K394" s="67"/>
      <c r="L394" s="67"/>
      <c r="M394" s="67"/>
      <c r="N394" s="67"/>
      <c r="O394" s="67"/>
      <c r="P394" s="67"/>
      <c r="Q394" s="67"/>
      <c r="R394" s="67"/>
      <c r="S394" s="67"/>
      <c r="T394" s="67"/>
      <c r="U394" s="67"/>
      <c r="V394" s="67"/>
      <c r="W394" s="329"/>
      <c r="X394" s="329"/>
      <c r="Y394" s="329"/>
      <c r="Z394" s="329"/>
      <c r="AA394" s="539"/>
      <c r="AB394" s="70"/>
      <c r="AC394" s="70"/>
      <c r="AD394" s="70"/>
      <c r="AE394" s="70"/>
      <c r="AF394" s="70"/>
      <c r="AG394" s="70"/>
    </row>
    <row r="395" spans="1:33" ht="15.75" customHeight="1">
      <c r="A395" s="70"/>
      <c r="B395" s="312"/>
      <c r="C395" s="69"/>
      <c r="D395" s="313"/>
      <c r="E395" s="67"/>
      <c r="F395" s="67"/>
      <c r="G395" s="67"/>
      <c r="H395" s="67"/>
      <c r="I395" s="67"/>
      <c r="J395" s="67"/>
      <c r="K395" s="67"/>
      <c r="L395" s="67"/>
      <c r="M395" s="67"/>
      <c r="N395" s="67"/>
      <c r="O395" s="67"/>
      <c r="P395" s="67"/>
      <c r="Q395" s="67"/>
      <c r="R395" s="67"/>
      <c r="S395" s="67"/>
      <c r="T395" s="67"/>
      <c r="U395" s="67"/>
      <c r="V395" s="67"/>
      <c r="W395" s="329"/>
      <c r="X395" s="329"/>
      <c r="Y395" s="329"/>
      <c r="Z395" s="329"/>
      <c r="AA395" s="539"/>
      <c r="AB395" s="70"/>
      <c r="AC395" s="70"/>
      <c r="AD395" s="70"/>
      <c r="AE395" s="70"/>
      <c r="AF395" s="70"/>
      <c r="AG395" s="70"/>
    </row>
    <row r="396" spans="1:33" ht="15.75" customHeight="1">
      <c r="A396" s="70"/>
      <c r="B396" s="312"/>
      <c r="C396" s="69"/>
      <c r="D396" s="313"/>
      <c r="E396" s="67"/>
      <c r="F396" s="67"/>
      <c r="G396" s="67"/>
      <c r="H396" s="67"/>
      <c r="I396" s="67"/>
      <c r="J396" s="67"/>
      <c r="K396" s="67"/>
      <c r="L396" s="67"/>
      <c r="M396" s="67"/>
      <c r="N396" s="67"/>
      <c r="O396" s="67"/>
      <c r="P396" s="67"/>
      <c r="Q396" s="67"/>
      <c r="R396" s="67"/>
      <c r="S396" s="67"/>
      <c r="T396" s="67"/>
      <c r="U396" s="67"/>
      <c r="V396" s="67"/>
      <c r="W396" s="329"/>
      <c r="X396" s="329"/>
      <c r="Y396" s="329"/>
      <c r="Z396" s="329"/>
      <c r="AA396" s="539"/>
      <c r="AB396" s="70"/>
      <c r="AC396" s="70"/>
      <c r="AD396" s="70"/>
      <c r="AE396" s="70"/>
      <c r="AF396" s="70"/>
      <c r="AG396" s="70"/>
    </row>
    <row r="397" spans="1:33" ht="15.75" customHeight="1">
      <c r="A397" s="70"/>
      <c r="B397" s="312"/>
      <c r="C397" s="69"/>
      <c r="D397" s="313"/>
      <c r="E397" s="67"/>
      <c r="F397" s="67"/>
      <c r="G397" s="67"/>
      <c r="H397" s="67"/>
      <c r="I397" s="67"/>
      <c r="J397" s="67"/>
      <c r="K397" s="67"/>
      <c r="L397" s="67"/>
      <c r="M397" s="67"/>
      <c r="N397" s="67"/>
      <c r="O397" s="67"/>
      <c r="P397" s="67"/>
      <c r="Q397" s="67"/>
      <c r="R397" s="67"/>
      <c r="S397" s="67"/>
      <c r="T397" s="67"/>
      <c r="U397" s="67"/>
      <c r="V397" s="67"/>
      <c r="W397" s="329"/>
      <c r="X397" s="329"/>
      <c r="Y397" s="329"/>
      <c r="Z397" s="329"/>
      <c r="AA397" s="539"/>
      <c r="AB397" s="70"/>
      <c r="AC397" s="70"/>
      <c r="AD397" s="70"/>
      <c r="AE397" s="70"/>
      <c r="AF397" s="70"/>
      <c r="AG397" s="70"/>
    </row>
    <row r="398" spans="1:33" ht="15.75" customHeight="1">
      <c r="A398" s="70"/>
      <c r="B398" s="312"/>
      <c r="C398" s="69"/>
      <c r="D398" s="313"/>
      <c r="E398" s="67"/>
      <c r="F398" s="67"/>
      <c r="G398" s="67"/>
      <c r="H398" s="67"/>
      <c r="I398" s="67"/>
      <c r="J398" s="67"/>
      <c r="K398" s="67"/>
      <c r="L398" s="67"/>
      <c r="M398" s="67"/>
      <c r="N398" s="67"/>
      <c r="O398" s="67"/>
      <c r="P398" s="67"/>
      <c r="Q398" s="67"/>
      <c r="R398" s="67"/>
      <c r="S398" s="67"/>
      <c r="T398" s="67"/>
      <c r="U398" s="67"/>
      <c r="V398" s="67"/>
      <c r="W398" s="329"/>
      <c r="X398" s="329"/>
      <c r="Y398" s="329"/>
      <c r="Z398" s="329"/>
      <c r="AA398" s="539"/>
      <c r="AB398" s="70"/>
      <c r="AC398" s="70"/>
      <c r="AD398" s="70"/>
      <c r="AE398" s="70"/>
      <c r="AF398" s="70"/>
      <c r="AG398" s="70"/>
    </row>
    <row r="399" spans="1:33" ht="15.75" customHeight="1">
      <c r="A399" s="70"/>
      <c r="B399" s="312"/>
      <c r="C399" s="69"/>
      <c r="D399" s="313"/>
      <c r="E399" s="67"/>
      <c r="F399" s="67"/>
      <c r="G399" s="67"/>
      <c r="H399" s="67"/>
      <c r="I399" s="67"/>
      <c r="J399" s="67"/>
      <c r="K399" s="67"/>
      <c r="L399" s="67"/>
      <c r="M399" s="67"/>
      <c r="N399" s="67"/>
      <c r="O399" s="67"/>
      <c r="P399" s="67"/>
      <c r="Q399" s="67"/>
      <c r="R399" s="67"/>
      <c r="S399" s="67"/>
      <c r="T399" s="67"/>
      <c r="U399" s="67"/>
      <c r="V399" s="67"/>
      <c r="W399" s="329"/>
      <c r="X399" s="329"/>
      <c r="Y399" s="329"/>
      <c r="Z399" s="329"/>
      <c r="AA399" s="539"/>
      <c r="AB399" s="70"/>
      <c r="AC399" s="70"/>
      <c r="AD399" s="70"/>
      <c r="AE399" s="70"/>
      <c r="AF399" s="70"/>
      <c r="AG399" s="70"/>
    </row>
    <row r="400" spans="1:33" ht="15.75" customHeight="1">
      <c r="A400" s="70"/>
      <c r="B400" s="312"/>
      <c r="C400" s="69"/>
      <c r="D400" s="313"/>
      <c r="E400" s="67"/>
      <c r="F400" s="67"/>
      <c r="G400" s="67"/>
      <c r="H400" s="67"/>
      <c r="I400" s="67"/>
      <c r="J400" s="67"/>
      <c r="K400" s="67"/>
      <c r="L400" s="67"/>
      <c r="M400" s="67"/>
      <c r="N400" s="67"/>
      <c r="O400" s="67"/>
      <c r="P400" s="67"/>
      <c r="Q400" s="67"/>
      <c r="R400" s="67"/>
      <c r="S400" s="67"/>
      <c r="T400" s="67"/>
      <c r="U400" s="67"/>
      <c r="V400" s="67"/>
      <c r="W400" s="329"/>
      <c r="X400" s="329"/>
      <c r="Y400" s="329"/>
      <c r="Z400" s="329"/>
      <c r="AA400" s="539"/>
      <c r="AB400" s="70"/>
      <c r="AC400" s="70"/>
      <c r="AD400" s="70"/>
      <c r="AE400" s="70"/>
      <c r="AF400" s="70"/>
      <c r="AG400" s="70"/>
    </row>
    <row r="401" spans="1:33" ht="15.75" customHeight="1">
      <c r="A401" s="70"/>
      <c r="B401" s="312"/>
      <c r="C401" s="69"/>
      <c r="D401" s="313"/>
      <c r="E401" s="67"/>
      <c r="F401" s="67"/>
      <c r="G401" s="67"/>
      <c r="H401" s="67"/>
      <c r="I401" s="67"/>
      <c r="J401" s="67"/>
      <c r="K401" s="67"/>
      <c r="L401" s="67"/>
      <c r="M401" s="67"/>
      <c r="N401" s="67"/>
      <c r="O401" s="67"/>
      <c r="P401" s="67"/>
      <c r="Q401" s="67"/>
      <c r="R401" s="67"/>
      <c r="S401" s="67"/>
      <c r="T401" s="67"/>
      <c r="U401" s="67"/>
      <c r="V401" s="67"/>
      <c r="W401" s="329"/>
      <c r="X401" s="329"/>
      <c r="Y401" s="329"/>
      <c r="Z401" s="329"/>
      <c r="AA401" s="539"/>
      <c r="AB401" s="70"/>
      <c r="AC401" s="70"/>
      <c r="AD401" s="70"/>
      <c r="AE401" s="70"/>
      <c r="AF401" s="70"/>
      <c r="AG401" s="70"/>
    </row>
    <row r="402" spans="1:33" ht="15.75" customHeight="1">
      <c r="A402" s="70"/>
      <c r="B402" s="312"/>
      <c r="C402" s="69"/>
      <c r="D402" s="313"/>
      <c r="E402" s="67"/>
      <c r="F402" s="67"/>
      <c r="G402" s="67"/>
      <c r="H402" s="67"/>
      <c r="I402" s="67"/>
      <c r="J402" s="67"/>
      <c r="K402" s="67"/>
      <c r="L402" s="67"/>
      <c r="M402" s="67"/>
      <c r="N402" s="67"/>
      <c r="O402" s="67"/>
      <c r="P402" s="67"/>
      <c r="Q402" s="67"/>
      <c r="R402" s="67"/>
      <c r="S402" s="67"/>
      <c r="T402" s="67"/>
      <c r="U402" s="67"/>
      <c r="V402" s="67"/>
      <c r="W402" s="329"/>
      <c r="X402" s="329"/>
      <c r="Y402" s="329"/>
      <c r="Z402" s="329"/>
      <c r="AA402" s="539"/>
      <c r="AB402" s="70"/>
      <c r="AC402" s="70"/>
      <c r="AD402" s="70"/>
      <c r="AE402" s="70"/>
      <c r="AF402" s="70"/>
      <c r="AG402" s="70"/>
    </row>
    <row r="403" spans="1:33" ht="15.75" customHeight="1">
      <c r="A403" s="70"/>
      <c r="B403" s="312"/>
      <c r="C403" s="69"/>
      <c r="D403" s="313"/>
      <c r="E403" s="67"/>
      <c r="F403" s="67"/>
      <c r="G403" s="67"/>
      <c r="H403" s="67"/>
      <c r="I403" s="67"/>
      <c r="J403" s="67"/>
      <c r="K403" s="67"/>
      <c r="L403" s="67"/>
      <c r="M403" s="67"/>
      <c r="N403" s="67"/>
      <c r="O403" s="67"/>
      <c r="P403" s="67"/>
      <c r="Q403" s="67"/>
      <c r="R403" s="67"/>
      <c r="S403" s="67"/>
      <c r="T403" s="67"/>
      <c r="U403" s="67"/>
      <c r="V403" s="67"/>
      <c r="W403" s="329"/>
      <c r="X403" s="329"/>
      <c r="Y403" s="329"/>
      <c r="Z403" s="329"/>
      <c r="AA403" s="539"/>
      <c r="AB403" s="70"/>
      <c r="AC403" s="70"/>
      <c r="AD403" s="70"/>
      <c r="AE403" s="70"/>
      <c r="AF403" s="70"/>
      <c r="AG403" s="70"/>
    </row>
    <row r="404" spans="1:33" ht="15.75" customHeight="1">
      <c r="A404" s="70"/>
      <c r="B404" s="312"/>
      <c r="C404" s="69"/>
      <c r="D404" s="313"/>
      <c r="E404" s="67"/>
      <c r="F404" s="67"/>
      <c r="G404" s="67"/>
      <c r="H404" s="67"/>
      <c r="I404" s="67"/>
      <c r="J404" s="67"/>
      <c r="K404" s="67"/>
      <c r="L404" s="67"/>
      <c r="M404" s="67"/>
      <c r="N404" s="67"/>
      <c r="O404" s="67"/>
      <c r="P404" s="67"/>
      <c r="Q404" s="67"/>
      <c r="R404" s="67"/>
      <c r="S404" s="67"/>
      <c r="T404" s="67"/>
      <c r="U404" s="67"/>
      <c r="V404" s="67"/>
      <c r="W404" s="329"/>
      <c r="X404" s="329"/>
      <c r="Y404" s="329"/>
      <c r="Z404" s="329"/>
      <c r="AA404" s="539"/>
      <c r="AB404" s="70"/>
      <c r="AC404" s="70"/>
      <c r="AD404" s="70"/>
      <c r="AE404" s="70"/>
      <c r="AF404" s="70"/>
      <c r="AG404" s="70"/>
    </row>
    <row r="405" spans="1:33" ht="15.75" customHeight="1">
      <c r="A405" s="70"/>
      <c r="B405" s="312"/>
      <c r="C405" s="69"/>
      <c r="D405" s="313"/>
      <c r="E405" s="67"/>
      <c r="F405" s="67"/>
      <c r="G405" s="67"/>
      <c r="H405" s="67"/>
      <c r="I405" s="67"/>
      <c r="J405" s="67"/>
      <c r="K405" s="67"/>
      <c r="L405" s="67"/>
      <c r="M405" s="67"/>
      <c r="N405" s="67"/>
      <c r="O405" s="67"/>
      <c r="P405" s="67"/>
      <c r="Q405" s="67"/>
      <c r="R405" s="67"/>
      <c r="S405" s="67"/>
      <c r="T405" s="67"/>
      <c r="U405" s="67"/>
      <c r="V405" s="67"/>
      <c r="W405" s="329"/>
      <c r="X405" s="329"/>
      <c r="Y405" s="329"/>
      <c r="Z405" s="329"/>
      <c r="AA405" s="539"/>
      <c r="AB405" s="70"/>
      <c r="AC405" s="70"/>
      <c r="AD405" s="70"/>
      <c r="AE405" s="70"/>
      <c r="AF405" s="70"/>
      <c r="AG405" s="70"/>
    </row>
    <row r="406" spans="1:33" ht="15.75" customHeight="1">
      <c r="A406" s="70"/>
      <c r="B406" s="312"/>
      <c r="C406" s="69"/>
      <c r="D406" s="313"/>
      <c r="E406" s="67"/>
      <c r="F406" s="67"/>
      <c r="G406" s="67"/>
      <c r="H406" s="67"/>
      <c r="I406" s="67"/>
      <c r="J406" s="67"/>
      <c r="K406" s="67"/>
      <c r="L406" s="67"/>
      <c r="M406" s="67"/>
      <c r="N406" s="67"/>
      <c r="O406" s="67"/>
      <c r="P406" s="67"/>
      <c r="Q406" s="67"/>
      <c r="R406" s="67"/>
      <c r="S406" s="67"/>
      <c r="T406" s="67"/>
      <c r="U406" s="67"/>
      <c r="V406" s="67"/>
      <c r="W406" s="329"/>
      <c r="X406" s="329"/>
      <c r="Y406" s="329"/>
      <c r="Z406" s="329"/>
      <c r="AA406" s="539"/>
      <c r="AB406" s="70"/>
      <c r="AC406" s="70"/>
      <c r="AD406" s="70"/>
      <c r="AE406" s="70"/>
      <c r="AF406" s="70"/>
      <c r="AG406" s="70"/>
    </row>
    <row r="407" spans="1:33" ht="15.75" customHeight="1">
      <c r="A407" s="70"/>
      <c r="B407" s="312"/>
      <c r="C407" s="69"/>
      <c r="D407" s="313"/>
      <c r="E407" s="67"/>
      <c r="F407" s="67"/>
      <c r="G407" s="67"/>
      <c r="H407" s="67"/>
      <c r="I407" s="67"/>
      <c r="J407" s="67"/>
      <c r="K407" s="67"/>
      <c r="L407" s="67"/>
      <c r="M407" s="67"/>
      <c r="N407" s="67"/>
      <c r="O407" s="67"/>
      <c r="P407" s="67"/>
      <c r="Q407" s="67"/>
      <c r="R407" s="67"/>
      <c r="S407" s="67"/>
      <c r="T407" s="67"/>
      <c r="U407" s="67"/>
      <c r="V407" s="67"/>
      <c r="W407" s="329"/>
      <c r="X407" s="329"/>
      <c r="Y407" s="329"/>
      <c r="Z407" s="329"/>
      <c r="AA407" s="539"/>
      <c r="AB407" s="70"/>
      <c r="AC407" s="70"/>
      <c r="AD407" s="70"/>
      <c r="AE407" s="70"/>
      <c r="AF407" s="70"/>
      <c r="AG407" s="70"/>
    </row>
    <row r="408" spans="1:33" ht="15.75" customHeight="1">
      <c r="A408" s="70"/>
      <c r="B408" s="312"/>
      <c r="C408" s="69"/>
      <c r="D408" s="313"/>
      <c r="E408" s="67"/>
      <c r="F408" s="67"/>
      <c r="G408" s="67"/>
      <c r="H408" s="67"/>
      <c r="I408" s="67"/>
      <c r="J408" s="67"/>
      <c r="K408" s="67"/>
      <c r="L408" s="67"/>
      <c r="M408" s="67"/>
      <c r="N408" s="67"/>
      <c r="O408" s="67"/>
      <c r="P408" s="67"/>
      <c r="Q408" s="67"/>
      <c r="R408" s="67"/>
      <c r="S408" s="67"/>
      <c r="T408" s="67"/>
      <c r="U408" s="67"/>
      <c r="V408" s="67"/>
      <c r="W408" s="329"/>
      <c r="X408" s="329"/>
      <c r="Y408" s="329"/>
      <c r="Z408" s="329"/>
      <c r="AA408" s="539"/>
      <c r="AB408" s="70"/>
      <c r="AC408" s="70"/>
      <c r="AD408" s="70"/>
      <c r="AE408" s="70"/>
      <c r="AF408" s="70"/>
      <c r="AG408" s="70"/>
    </row>
    <row r="409" spans="1:33" ht="15.75" customHeight="1">
      <c r="A409" s="70"/>
      <c r="B409" s="312"/>
      <c r="C409" s="69"/>
      <c r="D409" s="313"/>
      <c r="E409" s="67"/>
      <c r="F409" s="67"/>
      <c r="G409" s="67"/>
      <c r="H409" s="67"/>
      <c r="I409" s="67"/>
      <c r="J409" s="67"/>
      <c r="K409" s="67"/>
      <c r="L409" s="67"/>
      <c r="M409" s="67"/>
      <c r="N409" s="67"/>
      <c r="O409" s="67"/>
      <c r="P409" s="67"/>
      <c r="Q409" s="67"/>
      <c r="R409" s="67"/>
      <c r="S409" s="67"/>
      <c r="T409" s="67"/>
      <c r="U409" s="67"/>
      <c r="V409" s="67"/>
      <c r="W409" s="329"/>
      <c r="X409" s="329"/>
      <c r="Y409" s="329"/>
      <c r="Z409" s="329"/>
      <c r="AA409" s="539"/>
      <c r="AB409" s="70"/>
      <c r="AC409" s="70"/>
      <c r="AD409" s="70"/>
      <c r="AE409" s="70"/>
      <c r="AF409" s="70"/>
      <c r="AG409" s="70"/>
    </row>
    <row r="410" spans="1:33" ht="15.75" customHeight="1">
      <c r="A410" s="70"/>
      <c r="B410" s="312"/>
      <c r="C410" s="69"/>
      <c r="D410" s="313"/>
      <c r="E410" s="67"/>
      <c r="F410" s="67"/>
      <c r="G410" s="67"/>
      <c r="H410" s="67"/>
      <c r="I410" s="67"/>
      <c r="J410" s="67"/>
      <c r="K410" s="67"/>
      <c r="L410" s="67"/>
      <c r="M410" s="67"/>
      <c r="N410" s="67"/>
      <c r="O410" s="67"/>
      <c r="P410" s="67"/>
      <c r="Q410" s="67"/>
      <c r="R410" s="67"/>
      <c r="S410" s="67"/>
      <c r="T410" s="67"/>
      <c r="U410" s="67"/>
      <c r="V410" s="67"/>
      <c r="W410" s="329"/>
      <c r="X410" s="329"/>
      <c r="Y410" s="329"/>
      <c r="Z410" s="329"/>
      <c r="AA410" s="539"/>
      <c r="AB410" s="70"/>
      <c r="AC410" s="70"/>
      <c r="AD410" s="70"/>
      <c r="AE410" s="70"/>
      <c r="AF410" s="70"/>
      <c r="AG410" s="70"/>
    </row>
    <row r="411" spans="1:33" ht="15.75" customHeight="1">
      <c r="A411" s="70"/>
      <c r="B411" s="312"/>
      <c r="C411" s="69"/>
      <c r="D411" s="313"/>
      <c r="E411" s="67"/>
      <c r="F411" s="67"/>
      <c r="G411" s="67"/>
      <c r="H411" s="67"/>
      <c r="I411" s="67"/>
      <c r="J411" s="67"/>
      <c r="K411" s="67"/>
      <c r="L411" s="67"/>
      <c r="M411" s="67"/>
      <c r="N411" s="67"/>
      <c r="O411" s="67"/>
      <c r="P411" s="67"/>
      <c r="Q411" s="67"/>
      <c r="R411" s="67"/>
      <c r="S411" s="67"/>
      <c r="T411" s="67"/>
      <c r="U411" s="67"/>
      <c r="V411" s="67"/>
      <c r="W411" s="329"/>
      <c r="X411" s="329"/>
      <c r="Y411" s="329"/>
      <c r="Z411" s="329"/>
      <c r="AA411" s="539"/>
      <c r="AB411" s="70"/>
      <c r="AC411" s="70"/>
      <c r="AD411" s="70"/>
      <c r="AE411" s="70"/>
      <c r="AF411" s="70"/>
      <c r="AG411" s="70"/>
    </row>
    <row r="412" spans="1:33" ht="15.75" customHeight="1">
      <c r="A412" s="70"/>
      <c r="B412" s="312"/>
      <c r="C412" s="69"/>
      <c r="D412" s="313"/>
      <c r="E412" s="67"/>
      <c r="F412" s="67"/>
      <c r="G412" s="67"/>
      <c r="H412" s="67"/>
      <c r="I412" s="67"/>
      <c r="J412" s="67"/>
      <c r="K412" s="67"/>
      <c r="L412" s="67"/>
      <c r="M412" s="67"/>
      <c r="N412" s="67"/>
      <c r="O412" s="67"/>
      <c r="P412" s="67"/>
      <c r="Q412" s="67"/>
      <c r="R412" s="67"/>
      <c r="S412" s="67"/>
      <c r="T412" s="67"/>
      <c r="U412" s="67"/>
      <c r="V412" s="67"/>
      <c r="W412" s="329"/>
      <c r="X412" s="329"/>
      <c r="Y412" s="329"/>
      <c r="Z412" s="329"/>
      <c r="AA412" s="539"/>
      <c r="AB412" s="70"/>
      <c r="AC412" s="70"/>
      <c r="AD412" s="70"/>
      <c r="AE412" s="70"/>
      <c r="AF412" s="70"/>
      <c r="AG412" s="70"/>
    </row>
    <row r="413" spans="1:33" ht="15.75" customHeight="1">
      <c r="A413" s="70"/>
      <c r="B413" s="312"/>
      <c r="C413" s="69"/>
      <c r="D413" s="313"/>
      <c r="E413" s="67"/>
      <c r="F413" s="67"/>
      <c r="G413" s="67"/>
      <c r="H413" s="67"/>
      <c r="I413" s="67"/>
      <c r="J413" s="67"/>
      <c r="K413" s="67"/>
      <c r="L413" s="67"/>
      <c r="M413" s="67"/>
      <c r="N413" s="67"/>
      <c r="O413" s="67"/>
      <c r="P413" s="67"/>
      <c r="Q413" s="67"/>
      <c r="R413" s="67"/>
      <c r="S413" s="67"/>
      <c r="T413" s="67"/>
      <c r="U413" s="67"/>
      <c r="V413" s="67"/>
      <c r="W413" s="329"/>
      <c r="X413" s="329"/>
      <c r="Y413" s="329"/>
      <c r="Z413" s="329"/>
      <c r="AA413" s="539"/>
      <c r="AB413" s="70"/>
      <c r="AC413" s="70"/>
      <c r="AD413" s="70"/>
      <c r="AE413" s="70"/>
      <c r="AF413" s="70"/>
      <c r="AG413" s="70"/>
    </row>
    <row r="414" spans="1:33" ht="15.75" customHeight="1">
      <c r="A414" s="70"/>
      <c r="B414" s="312"/>
      <c r="C414" s="69"/>
      <c r="D414" s="313"/>
      <c r="E414" s="67"/>
      <c r="F414" s="67"/>
      <c r="G414" s="67"/>
      <c r="H414" s="67"/>
      <c r="I414" s="67"/>
      <c r="J414" s="67"/>
      <c r="K414" s="67"/>
      <c r="L414" s="67"/>
      <c r="M414" s="67"/>
      <c r="N414" s="67"/>
      <c r="O414" s="67"/>
      <c r="P414" s="67"/>
      <c r="Q414" s="67"/>
      <c r="R414" s="67"/>
      <c r="S414" s="67"/>
      <c r="T414" s="67"/>
      <c r="U414" s="67"/>
      <c r="V414" s="67"/>
      <c r="W414" s="329"/>
      <c r="X414" s="329"/>
      <c r="Y414" s="329"/>
      <c r="Z414" s="329"/>
      <c r="AA414" s="539"/>
      <c r="AB414" s="70"/>
      <c r="AC414" s="70"/>
      <c r="AD414" s="70"/>
      <c r="AE414" s="70"/>
      <c r="AF414" s="70"/>
      <c r="AG414" s="70"/>
    </row>
    <row r="415" spans="1:33" ht="15.75" customHeight="1">
      <c r="A415" s="70"/>
      <c r="B415" s="312"/>
      <c r="C415" s="69"/>
      <c r="D415" s="313"/>
      <c r="E415" s="67"/>
      <c r="F415" s="67"/>
      <c r="G415" s="67"/>
      <c r="H415" s="67"/>
      <c r="I415" s="67"/>
      <c r="J415" s="67"/>
      <c r="K415" s="67"/>
      <c r="L415" s="67"/>
      <c r="M415" s="67"/>
      <c r="N415" s="67"/>
      <c r="O415" s="67"/>
      <c r="P415" s="67"/>
      <c r="Q415" s="67"/>
      <c r="R415" s="67"/>
      <c r="S415" s="67"/>
      <c r="T415" s="67"/>
      <c r="U415" s="67"/>
      <c r="V415" s="67"/>
      <c r="W415" s="329"/>
      <c r="X415" s="329"/>
      <c r="Y415" s="329"/>
      <c r="Z415" s="329"/>
      <c r="AA415" s="539"/>
      <c r="AB415" s="70"/>
      <c r="AC415" s="70"/>
      <c r="AD415" s="70"/>
      <c r="AE415" s="70"/>
      <c r="AF415" s="70"/>
      <c r="AG415" s="70"/>
    </row>
    <row r="416" spans="1:33" ht="15.75" customHeight="1">
      <c r="A416" s="70"/>
      <c r="B416" s="312"/>
      <c r="C416" s="69"/>
      <c r="D416" s="313"/>
      <c r="E416" s="67"/>
      <c r="F416" s="67"/>
      <c r="G416" s="67"/>
      <c r="H416" s="67"/>
      <c r="I416" s="67"/>
      <c r="J416" s="67"/>
      <c r="K416" s="67"/>
      <c r="L416" s="67"/>
      <c r="M416" s="67"/>
      <c r="N416" s="67"/>
      <c r="O416" s="67"/>
      <c r="P416" s="67"/>
      <c r="Q416" s="67"/>
      <c r="R416" s="67"/>
      <c r="S416" s="67"/>
      <c r="T416" s="67"/>
      <c r="U416" s="67"/>
      <c r="V416" s="67"/>
      <c r="W416" s="329"/>
      <c r="X416" s="329"/>
      <c r="Y416" s="329"/>
      <c r="Z416" s="329"/>
      <c r="AA416" s="539"/>
      <c r="AB416" s="70"/>
      <c r="AC416" s="70"/>
      <c r="AD416" s="70"/>
      <c r="AE416" s="70"/>
      <c r="AF416" s="70"/>
      <c r="AG416" s="70"/>
    </row>
    <row r="417" spans="1:33" ht="15.75" customHeight="1">
      <c r="A417" s="70"/>
      <c r="B417" s="312"/>
      <c r="C417" s="69"/>
      <c r="D417" s="313"/>
      <c r="E417" s="67"/>
      <c r="F417" s="67"/>
      <c r="G417" s="67"/>
      <c r="H417" s="67"/>
      <c r="I417" s="67"/>
      <c r="J417" s="67"/>
      <c r="K417" s="67"/>
      <c r="L417" s="67"/>
      <c r="M417" s="67"/>
      <c r="N417" s="67"/>
      <c r="O417" s="67"/>
      <c r="P417" s="67"/>
      <c r="Q417" s="67"/>
      <c r="R417" s="67"/>
      <c r="S417" s="67"/>
      <c r="T417" s="67"/>
      <c r="U417" s="67"/>
      <c r="V417" s="67"/>
      <c r="W417" s="329"/>
      <c r="X417" s="329"/>
      <c r="Y417" s="329"/>
      <c r="Z417" s="329"/>
      <c r="AA417" s="539"/>
      <c r="AB417" s="70"/>
      <c r="AC417" s="70"/>
      <c r="AD417" s="70"/>
      <c r="AE417" s="70"/>
      <c r="AF417" s="70"/>
      <c r="AG417" s="70"/>
    </row>
    <row r="418" spans="1:33" ht="15.75" customHeight="1">
      <c r="A418" s="70"/>
      <c r="B418" s="312"/>
      <c r="C418" s="69"/>
      <c r="D418" s="313"/>
      <c r="E418" s="67"/>
      <c r="F418" s="67"/>
      <c r="G418" s="67"/>
      <c r="H418" s="67"/>
      <c r="I418" s="67"/>
      <c r="J418" s="67"/>
      <c r="K418" s="67"/>
      <c r="L418" s="67"/>
      <c r="M418" s="67"/>
      <c r="N418" s="67"/>
      <c r="O418" s="67"/>
      <c r="P418" s="67"/>
      <c r="Q418" s="67"/>
      <c r="R418" s="67"/>
      <c r="S418" s="67"/>
      <c r="T418" s="67"/>
      <c r="U418" s="67"/>
      <c r="V418" s="67"/>
      <c r="W418" s="329"/>
      <c r="X418" s="329"/>
      <c r="Y418" s="329"/>
      <c r="Z418" s="329"/>
      <c r="AA418" s="539"/>
      <c r="AB418" s="70"/>
      <c r="AC418" s="70"/>
      <c r="AD418" s="70"/>
      <c r="AE418" s="70"/>
      <c r="AF418" s="70"/>
      <c r="AG418" s="70"/>
    </row>
    <row r="419" spans="1:33" ht="15.75" customHeight="1">
      <c r="A419" s="70"/>
      <c r="B419" s="312"/>
      <c r="C419" s="69"/>
      <c r="D419" s="313"/>
      <c r="E419" s="67"/>
      <c r="F419" s="67"/>
      <c r="G419" s="67"/>
      <c r="H419" s="67"/>
      <c r="I419" s="67"/>
      <c r="J419" s="67"/>
      <c r="K419" s="67"/>
      <c r="L419" s="67"/>
      <c r="M419" s="67"/>
      <c r="N419" s="67"/>
      <c r="O419" s="67"/>
      <c r="P419" s="67"/>
      <c r="Q419" s="67"/>
      <c r="R419" s="67"/>
      <c r="S419" s="67"/>
      <c r="T419" s="67"/>
      <c r="U419" s="67"/>
      <c r="V419" s="67"/>
      <c r="W419" s="329"/>
      <c r="X419" s="329"/>
      <c r="Y419" s="329"/>
      <c r="Z419" s="329"/>
      <c r="AA419" s="539"/>
      <c r="AB419" s="70"/>
      <c r="AC419" s="70"/>
      <c r="AD419" s="70"/>
      <c r="AE419" s="70"/>
      <c r="AF419" s="70"/>
      <c r="AG419" s="70"/>
    </row>
    <row r="420" spans="1:33" ht="15.75" customHeight="1">
      <c r="A420" s="70"/>
      <c r="B420" s="312"/>
      <c r="C420" s="69"/>
      <c r="D420" s="313"/>
      <c r="E420" s="67"/>
      <c r="F420" s="67"/>
      <c r="G420" s="67"/>
      <c r="H420" s="67"/>
      <c r="I420" s="67"/>
      <c r="J420" s="67"/>
      <c r="K420" s="67"/>
      <c r="L420" s="67"/>
      <c r="M420" s="67"/>
      <c r="N420" s="67"/>
      <c r="O420" s="67"/>
      <c r="P420" s="67"/>
      <c r="Q420" s="67"/>
      <c r="R420" s="67"/>
      <c r="S420" s="67"/>
      <c r="T420" s="67"/>
      <c r="U420" s="67"/>
      <c r="V420" s="67"/>
      <c r="W420" s="329"/>
      <c r="X420" s="329"/>
      <c r="Y420" s="329"/>
      <c r="Z420" s="329"/>
      <c r="AA420" s="539"/>
      <c r="AB420" s="70"/>
      <c r="AC420" s="70"/>
      <c r="AD420" s="70"/>
      <c r="AE420" s="70"/>
      <c r="AF420" s="70"/>
      <c r="AG420" s="70"/>
    </row>
    <row r="421" spans="1:33" ht="15.75" customHeight="1">
      <c r="A421" s="70"/>
      <c r="B421" s="312"/>
      <c r="C421" s="69"/>
      <c r="D421" s="313"/>
      <c r="E421" s="67"/>
      <c r="F421" s="67"/>
      <c r="G421" s="67"/>
      <c r="H421" s="67"/>
      <c r="I421" s="67"/>
      <c r="J421" s="67"/>
      <c r="K421" s="67"/>
      <c r="L421" s="67"/>
      <c r="M421" s="67"/>
      <c r="N421" s="67"/>
      <c r="O421" s="67"/>
      <c r="P421" s="67"/>
      <c r="Q421" s="67"/>
      <c r="R421" s="67"/>
      <c r="S421" s="67"/>
      <c r="T421" s="67"/>
      <c r="U421" s="67"/>
      <c r="V421" s="67"/>
      <c r="W421" s="329"/>
      <c r="X421" s="329"/>
      <c r="Y421" s="329"/>
      <c r="Z421" s="329"/>
      <c r="AA421" s="539"/>
      <c r="AB421" s="70"/>
      <c r="AC421" s="70"/>
      <c r="AD421" s="70"/>
      <c r="AE421" s="70"/>
      <c r="AF421" s="70"/>
      <c r="AG421" s="70"/>
    </row>
    <row r="422" spans="1:33" ht="15.75" customHeight="1">
      <c r="A422" s="70"/>
      <c r="B422" s="312"/>
      <c r="C422" s="69"/>
      <c r="D422" s="313"/>
      <c r="E422" s="67"/>
      <c r="F422" s="67"/>
      <c r="G422" s="67"/>
      <c r="H422" s="67"/>
      <c r="I422" s="67"/>
      <c r="J422" s="67"/>
      <c r="K422" s="67"/>
      <c r="L422" s="67"/>
      <c r="M422" s="67"/>
      <c r="N422" s="67"/>
      <c r="O422" s="67"/>
      <c r="P422" s="67"/>
      <c r="Q422" s="67"/>
      <c r="R422" s="67"/>
      <c r="S422" s="67"/>
      <c r="T422" s="67"/>
      <c r="U422" s="67"/>
      <c r="V422" s="67"/>
      <c r="W422" s="329"/>
      <c r="X422" s="329"/>
      <c r="Y422" s="329"/>
      <c r="Z422" s="329"/>
      <c r="AA422" s="539"/>
      <c r="AB422" s="70"/>
      <c r="AC422" s="70"/>
      <c r="AD422" s="70"/>
      <c r="AE422" s="70"/>
      <c r="AF422" s="70"/>
      <c r="AG422" s="70"/>
    </row>
    <row r="423" spans="1:33" ht="15.75" customHeight="1">
      <c r="A423" s="70"/>
      <c r="B423" s="312"/>
      <c r="C423" s="69"/>
      <c r="D423" s="313"/>
      <c r="E423" s="67"/>
      <c r="F423" s="67"/>
      <c r="G423" s="67"/>
      <c r="H423" s="67"/>
      <c r="I423" s="67"/>
      <c r="J423" s="67"/>
      <c r="K423" s="67"/>
      <c r="L423" s="67"/>
      <c r="M423" s="67"/>
      <c r="N423" s="67"/>
      <c r="O423" s="67"/>
      <c r="P423" s="67"/>
      <c r="Q423" s="67"/>
      <c r="R423" s="67"/>
      <c r="S423" s="67"/>
      <c r="T423" s="67"/>
      <c r="U423" s="67"/>
      <c r="V423" s="67"/>
      <c r="W423" s="329"/>
      <c r="X423" s="329"/>
      <c r="Y423" s="329"/>
      <c r="Z423" s="329"/>
      <c r="AA423" s="539"/>
      <c r="AB423" s="70"/>
      <c r="AC423" s="70"/>
      <c r="AD423" s="70"/>
      <c r="AE423" s="70"/>
      <c r="AF423" s="70"/>
      <c r="AG423" s="70"/>
    </row>
    <row r="424" spans="1:33" ht="15.75" customHeight="1">
      <c r="A424" s="70"/>
      <c r="B424" s="312"/>
      <c r="C424" s="69"/>
      <c r="D424" s="313"/>
      <c r="E424" s="67"/>
      <c r="F424" s="67"/>
      <c r="G424" s="67"/>
      <c r="H424" s="67"/>
      <c r="I424" s="67"/>
      <c r="J424" s="67"/>
      <c r="K424" s="67"/>
      <c r="L424" s="67"/>
      <c r="M424" s="67"/>
      <c r="N424" s="67"/>
      <c r="O424" s="67"/>
      <c r="P424" s="67"/>
      <c r="Q424" s="67"/>
      <c r="R424" s="67"/>
      <c r="S424" s="67"/>
      <c r="T424" s="67"/>
      <c r="U424" s="67"/>
      <c r="V424" s="67"/>
      <c r="W424" s="329"/>
      <c r="X424" s="329"/>
      <c r="Y424" s="329"/>
      <c r="Z424" s="329"/>
      <c r="AA424" s="539"/>
      <c r="AB424" s="70"/>
      <c r="AC424" s="70"/>
      <c r="AD424" s="70"/>
      <c r="AE424" s="70"/>
      <c r="AF424" s="70"/>
      <c r="AG424" s="70"/>
    </row>
    <row r="425" spans="1:33" ht="15.75" customHeight="1">
      <c r="A425" s="70"/>
      <c r="B425" s="312"/>
      <c r="C425" s="69"/>
      <c r="D425" s="313"/>
      <c r="E425" s="67"/>
      <c r="F425" s="67"/>
      <c r="G425" s="67"/>
      <c r="H425" s="67"/>
      <c r="I425" s="67"/>
      <c r="J425" s="67"/>
      <c r="K425" s="67"/>
      <c r="L425" s="67"/>
      <c r="M425" s="67"/>
      <c r="N425" s="67"/>
      <c r="O425" s="67"/>
      <c r="P425" s="67"/>
      <c r="Q425" s="67"/>
      <c r="R425" s="67"/>
      <c r="S425" s="67"/>
      <c r="T425" s="67"/>
      <c r="U425" s="67"/>
      <c r="V425" s="67"/>
      <c r="W425" s="329"/>
      <c r="X425" s="329"/>
      <c r="Y425" s="329"/>
      <c r="Z425" s="329"/>
      <c r="AA425" s="539"/>
      <c r="AB425" s="70"/>
      <c r="AC425" s="70"/>
      <c r="AD425" s="70"/>
      <c r="AE425" s="70"/>
      <c r="AF425" s="70"/>
      <c r="AG425" s="70"/>
    </row>
    <row r="426" spans="1:33" ht="15.75" customHeight="1">
      <c r="A426" s="70"/>
      <c r="B426" s="312"/>
      <c r="C426" s="69"/>
      <c r="D426" s="313"/>
      <c r="E426" s="67"/>
      <c r="F426" s="67"/>
      <c r="G426" s="67"/>
      <c r="H426" s="67"/>
      <c r="I426" s="67"/>
      <c r="J426" s="67"/>
      <c r="K426" s="67"/>
      <c r="L426" s="67"/>
      <c r="M426" s="67"/>
      <c r="N426" s="67"/>
      <c r="O426" s="67"/>
      <c r="P426" s="67"/>
      <c r="Q426" s="67"/>
      <c r="R426" s="67"/>
      <c r="S426" s="67"/>
      <c r="T426" s="67"/>
      <c r="U426" s="67"/>
      <c r="V426" s="67"/>
      <c r="W426" s="329"/>
      <c r="X426" s="329"/>
      <c r="Y426" s="329"/>
      <c r="Z426" s="329"/>
      <c r="AA426" s="539"/>
      <c r="AB426" s="70"/>
      <c r="AC426" s="70"/>
      <c r="AD426" s="70"/>
      <c r="AE426" s="70"/>
      <c r="AF426" s="70"/>
      <c r="AG426" s="70"/>
    </row>
    <row r="427" spans="1:33" ht="15.75" customHeight="1">
      <c r="A427" s="70"/>
      <c r="B427" s="312"/>
      <c r="C427" s="69"/>
      <c r="D427" s="313"/>
      <c r="E427" s="67"/>
      <c r="F427" s="67"/>
      <c r="G427" s="67"/>
      <c r="H427" s="67"/>
      <c r="I427" s="67"/>
      <c r="J427" s="67"/>
      <c r="K427" s="67"/>
      <c r="L427" s="67"/>
      <c r="M427" s="67"/>
      <c r="N427" s="67"/>
      <c r="O427" s="67"/>
      <c r="P427" s="67"/>
      <c r="Q427" s="67"/>
      <c r="R427" s="67"/>
      <c r="S427" s="67"/>
      <c r="T427" s="67"/>
      <c r="U427" s="67"/>
      <c r="V427" s="67"/>
      <c r="W427" s="329"/>
      <c r="X427" s="329"/>
      <c r="Y427" s="329"/>
      <c r="Z427" s="329"/>
      <c r="AA427" s="539"/>
      <c r="AB427" s="70"/>
      <c r="AC427" s="70"/>
      <c r="AD427" s="70"/>
      <c r="AE427" s="70"/>
      <c r="AF427" s="70"/>
      <c r="AG427" s="70"/>
    </row>
    <row r="428" spans="1:33" ht="15.75" customHeight="1">
      <c r="A428" s="70"/>
      <c r="B428" s="312"/>
      <c r="C428" s="69"/>
      <c r="D428" s="313"/>
      <c r="E428" s="67"/>
      <c r="F428" s="67"/>
      <c r="G428" s="67"/>
      <c r="H428" s="67"/>
      <c r="I428" s="67"/>
      <c r="J428" s="67"/>
      <c r="K428" s="67"/>
      <c r="L428" s="67"/>
      <c r="M428" s="67"/>
      <c r="N428" s="67"/>
      <c r="O428" s="67"/>
      <c r="P428" s="67"/>
      <c r="Q428" s="67"/>
      <c r="R428" s="67"/>
      <c r="S428" s="67"/>
      <c r="T428" s="67"/>
      <c r="U428" s="67"/>
      <c r="V428" s="67"/>
      <c r="W428" s="329"/>
      <c r="X428" s="329"/>
      <c r="Y428" s="329"/>
      <c r="Z428" s="329"/>
      <c r="AA428" s="539"/>
      <c r="AB428" s="70"/>
      <c r="AC428" s="70"/>
      <c r="AD428" s="70"/>
      <c r="AE428" s="70"/>
      <c r="AF428" s="70"/>
      <c r="AG428" s="70"/>
    </row>
    <row r="429" spans="1:33" ht="15.75" customHeight="1">
      <c r="A429" s="70"/>
      <c r="B429" s="312"/>
      <c r="C429" s="69"/>
      <c r="D429" s="313"/>
      <c r="E429" s="67"/>
      <c r="F429" s="67"/>
      <c r="G429" s="67"/>
      <c r="H429" s="67"/>
      <c r="I429" s="67"/>
      <c r="J429" s="67"/>
      <c r="K429" s="67"/>
      <c r="L429" s="67"/>
      <c r="M429" s="67"/>
      <c r="N429" s="67"/>
      <c r="O429" s="67"/>
      <c r="P429" s="67"/>
      <c r="Q429" s="67"/>
      <c r="R429" s="67"/>
      <c r="S429" s="67"/>
      <c r="T429" s="67"/>
      <c r="U429" s="67"/>
      <c r="V429" s="67"/>
      <c r="W429" s="329"/>
      <c r="X429" s="329"/>
      <c r="Y429" s="329"/>
      <c r="Z429" s="329"/>
      <c r="AA429" s="539"/>
      <c r="AB429" s="70"/>
      <c r="AC429" s="70"/>
      <c r="AD429" s="70"/>
      <c r="AE429" s="70"/>
      <c r="AF429" s="70"/>
      <c r="AG429" s="70"/>
    </row>
    <row r="430" spans="1:33" ht="15.75" customHeight="1">
      <c r="A430" s="70"/>
      <c r="B430" s="312"/>
      <c r="C430" s="69"/>
      <c r="D430" s="313"/>
      <c r="E430" s="67"/>
      <c r="F430" s="67"/>
      <c r="G430" s="67"/>
      <c r="H430" s="67"/>
      <c r="I430" s="67"/>
      <c r="J430" s="67"/>
      <c r="K430" s="67"/>
      <c r="L430" s="67"/>
      <c r="M430" s="67"/>
      <c r="N430" s="67"/>
      <c r="O430" s="67"/>
      <c r="P430" s="67"/>
      <c r="Q430" s="67"/>
      <c r="R430" s="67"/>
      <c r="S430" s="67"/>
      <c r="T430" s="67"/>
      <c r="U430" s="67"/>
      <c r="V430" s="67"/>
      <c r="W430" s="329"/>
      <c r="X430" s="329"/>
      <c r="Y430" s="329"/>
      <c r="Z430" s="329"/>
      <c r="AA430" s="539"/>
      <c r="AB430" s="70"/>
      <c r="AC430" s="70"/>
      <c r="AD430" s="70"/>
      <c r="AE430" s="70"/>
      <c r="AF430" s="70"/>
      <c r="AG430" s="70"/>
    </row>
    <row r="431" spans="1:33" ht="15.75" customHeight="1">
      <c r="A431" s="70"/>
      <c r="B431" s="312"/>
      <c r="C431" s="69"/>
      <c r="D431" s="313"/>
      <c r="E431" s="67"/>
      <c r="F431" s="67"/>
      <c r="G431" s="67"/>
      <c r="H431" s="67"/>
      <c r="I431" s="67"/>
      <c r="J431" s="67"/>
      <c r="K431" s="67"/>
      <c r="L431" s="67"/>
      <c r="M431" s="67"/>
      <c r="N431" s="67"/>
      <c r="O431" s="67"/>
      <c r="P431" s="67"/>
      <c r="Q431" s="67"/>
      <c r="R431" s="67"/>
      <c r="S431" s="67"/>
      <c r="T431" s="67"/>
      <c r="U431" s="67"/>
      <c r="V431" s="67"/>
      <c r="W431" s="329"/>
      <c r="X431" s="329"/>
      <c r="Y431" s="329"/>
      <c r="Z431" s="329"/>
      <c r="AA431" s="539"/>
      <c r="AB431" s="70"/>
      <c r="AC431" s="70"/>
      <c r="AD431" s="70"/>
      <c r="AE431" s="70"/>
      <c r="AF431" s="70"/>
      <c r="AG431" s="70"/>
    </row>
    <row r="432" spans="1:33" ht="15.75" customHeight="1">
      <c r="A432" s="70"/>
      <c r="B432" s="312"/>
      <c r="C432" s="69"/>
      <c r="D432" s="313"/>
      <c r="E432" s="67"/>
      <c r="F432" s="67"/>
      <c r="G432" s="67"/>
      <c r="H432" s="67"/>
      <c r="I432" s="67"/>
      <c r="J432" s="67"/>
      <c r="K432" s="67"/>
      <c r="L432" s="67"/>
      <c r="M432" s="67"/>
      <c r="N432" s="67"/>
      <c r="O432" s="67"/>
      <c r="P432" s="67"/>
      <c r="Q432" s="67"/>
      <c r="R432" s="67"/>
      <c r="S432" s="67"/>
      <c r="T432" s="67"/>
      <c r="U432" s="67"/>
      <c r="V432" s="67"/>
      <c r="W432" s="329"/>
      <c r="X432" s="329"/>
      <c r="Y432" s="329"/>
      <c r="Z432" s="329"/>
      <c r="AA432" s="539"/>
      <c r="AB432" s="70"/>
      <c r="AC432" s="70"/>
      <c r="AD432" s="70"/>
      <c r="AE432" s="70"/>
      <c r="AF432" s="70"/>
      <c r="AG432" s="70"/>
    </row>
    <row r="433" spans="1:33" ht="15.75" customHeight="1">
      <c r="A433" s="70"/>
      <c r="B433" s="312"/>
      <c r="C433" s="69"/>
      <c r="D433" s="313"/>
      <c r="E433" s="67"/>
      <c r="F433" s="67"/>
      <c r="G433" s="67"/>
      <c r="H433" s="67"/>
      <c r="I433" s="67"/>
      <c r="J433" s="67"/>
      <c r="K433" s="67"/>
      <c r="L433" s="67"/>
      <c r="M433" s="67"/>
      <c r="N433" s="67"/>
      <c r="O433" s="67"/>
      <c r="P433" s="67"/>
      <c r="Q433" s="67"/>
      <c r="R433" s="67"/>
      <c r="S433" s="67"/>
      <c r="T433" s="67"/>
      <c r="U433" s="67"/>
      <c r="V433" s="67"/>
      <c r="W433" s="329"/>
      <c r="X433" s="329"/>
      <c r="Y433" s="329"/>
      <c r="Z433" s="329"/>
      <c r="AA433" s="539"/>
      <c r="AB433" s="70"/>
      <c r="AC433" s="70"/>
      <c r="AD433" s="70"/>
      <c r="AE433" s="70"/>
      <c r="AF433" s="70"/>
      <c r="AG433" s="70"/>
    </row>
    <row r="434" spans="1:33" ht="15.75" customHeight="1">
      <c r="A434" s="70"/>
      <c r="B434" s="312"/>
      <c r="C434" s="69"/>
      <c r="D434" s="313"/>
      <c r="E434" s="67"/>
      <c r="F434" s="67"/>
      <c r="G434" s="67"/>
      <c r="H434" s="67"/>
      <c r="I434" s="67"/>
      <c r="J434" s="67"/>
      <c r="K434" s="67"/>
      <c r="L434" s="67"/>
      <c r="M434" s="67"/>
      <c r="N434" s="67"/>
      <c r="O434" s="67"/>
      <c r="P434" s="67"/>
      <c r="Q434" s="67"/>
      <c r="R434" s="67"/>
      <c r="S434" s="67"/>
      <c r="T434" s="67"/>
      <c r="U434" s="67"/>
      <c r="V434" s="67"/>
      <c r="W434" s="329"/>
      <c r="X434" s="329"/>
      <c r="Y434" s="329"/>
      <c r="Z434" s="329"/>
      <c r="AA434" s="539"/>
      <c r="AB434" s="70"/>
      <c r="AC434" s="70"/>
      <c r="AD434" s="70"/>
      <c r="AE434" s="70"/>
      <c r="AF434" s="70"/>
      <c r="AG434" s="70"/>
    </row>
    <row r="435" spans="1:33" ht="15.75" customHeight="1">
      <c r="A435" s="70"/>
      <c r="B435" s="312"/>
      <c r="C435" s="69"/>
      <c r="D435" s="313"/>
      <c r="E435" s="67"/>
      <c r="F435" s="67"/>
      <c r="G435" s="67"/>
      <c r="H435" s="67"/>
      <c r="I435" s="67"/>
      <c r="J435" s="67"/>
      <c r="K435" s="67"/>
      <c r="L435" s="67"/>
      <c r="M435" s="67"/>
      <c r="N435" s="67"/>
      <c r="O435" s="67"/>
      <c r="P435" s="67"/>
      <c r="Q435" s="67"/>
      <c r="R435" s="67"/>
      <c r="S435" s="67"/>
      <c r="T435" s="67"/>
      <c r="U435" s="67"/>
      <c r="V435" s="67"/>
      <c r="W435" s="329"/>
      <c r="X435" s="329"/>
      <c r="Y435" s="329"/>
      <c r="Z435" s="329"/>
      <c r="AA435" s="539"/>
      <c r="AB435" s="70"/>
      <c r="AC435" s="70"/>
      <c r="AD435" s="70"/>
      <c r="AE435" s="70"/>
      <c r="AF435" s="70"/>
      <c r="AG435" s="70"/>
    </row>
    <row r="436" spans="1:33" ht="15.75" customHeight="1">
      <c r="A436" s="70"/>
      <c r="B436" s="70"/>
      <c r="C436" s="69"/>
      <c r="D436" s="313"/>
      <c r="E436" s="67"/>
      <c r="F436" s="67"/>
      <c r="G436" s="67"/>
      <c r="H436" s="67"/>
      <c r="I436" s="67"/>
      <c r="J436" s="67"/>
      <c r="K436" s="67"/>
      <c r="L436" s="67"/>
      <c r="M436" s="67"/>
      <c r="N436" s="67"/>
      <c r="O436" s="67"/>
      <c r="P436" s="67"/>
      <c r="Q436" s="67"/>
      <c r="R436" s="67"/>
      <c r="S436" s="67"/>
      <c r="T436" s="67"/>
      <c r="U436" s="67"/>
      <c r="V436" s="67"/>
      <c r="W436" s="329"/>
      <c r="X436" s="329"/>
      <c r="Y436" s="329"/>
      <c r="Z436" s="329"/>
      <c r="AA436" s="539"/>
      <c r="AB436" s="70"/>
      <c r="AC436" s="70"/>
      <c r="AD436" s="70"/>
      <c r="AE436" s="70"/>
      <c r="AF436" s="70"/>
      <c r="AG436" s="70"/>
    </row>
    <row r="437" spans="1:33" ht="15.75" customHeight="1">
      <c r="A437" s="70"/>
      <c r="B437" s="70"/>
      <c r="C437" s="69"/>
      <c r="D437" s="313"/>
      <c r="E437" s="67"/>
      <c r="F437" s="67"/>
      <c r="G437" s="67"/>
      <c r="H437" s="67"/>
      <c r="I437" s="67"/>
      <c r="J437" s="67"/>
      <c r="K437" s="67"/>
      <c r="L437" s="67"/>
      <c r="M437" s="67"/>
      <c r="N437" s="67"/>
      <c r="O437" s="67"/>
      <c r="P437" s="67"/>
      <c r="Q437" s="67"/>
      <c r="R437" s="67"/>
      <c r="S437" s="67"/>
      <c r="T437" s="67"/>
      <c r="U437" s="67"/>
      <c r="V437" s="67"/>
      <c r="W437" s="329"/>
      <c r="X437" s="329"/>
      <c r="Y437" s="329"/>
      <c r="Z437" s="329"/>
      <c r="AA437" s="539"/>
      <c r="AB437" s="70"/>
      <c r="AC437" s="70"/>
      <c r="AD437" s="70"/>
      <c r="AE437" s="70"/>
      <c r="AF437" s="70"/>
      <c r="AG437" s="70"/>
    </row>
    <row r="438" spans="1:33" ht="15.75" customHeight="1">
      <c r="A438" s="70"/>
      <c r="B438" s="70"/>
      <c r="C438" s="69"/>
      <c r="D438" s="313"/>
      <c r="E438" s="67"/>
      <c r="F438" s="67"/>
      <c r="G438" s="67"/>
      <c r="H438" s="67"/>
      <c r="I438" s="67"/>
      <c r="J438" s="67"/>
      <c r="K438" s="67"/>
      <c r="L438" s="67"/>
      <c r="M438" s="67"/>
      <c r="N438" s="67"/>
      <c r="O438" s="67"/>
      <c r="P438" s="67"/>
      <c r="Q438" s="67"/>
      <c r="R438" s="67"/>
      <c r="S438" s="67"/>
      <c r="T438" s="67"/>
      <c r="U438" s="67"/>
      <c r="V438" s="67"/>
      <c r="W438" s="329"/>
      <c r="X438" s="329"/>
      <c r="Y438" s="329"/>
      <c r="Z438" s="329"/>
      <c r="AA438" s="539"/>
      <c r="AB438" s="70"/>
      <c r="AC438" s="70"/>
      <c r="AD438" s="70"/>
      <c r="AE438" s="70"/>
      <c r="AF438" s="70"/>
      <c r="AG438" s="70"/>
    </row>
    <row r="439" spans="1:33" ht="15.75" customHeight="1">
      <c r="A439" s="70"/>
      <c r="B439" s="70"/>
      <c r="C439" s="69"/>
      <c r="D439" s="313"/>
      <c r="E439" s="67"/>
      <c r="F439" s="67"/>
      <c r="G439" s="67"/>
      <c r="H439" s="67"/>
      <c r="I439" s="67"/>
      <c r="J439" s="67"/>
      <c r="K439" s="67"/>
      <c r="L439" s="67"/>
      <c r="M439" s="67"/>
      <c r="N439" s="67"/>
      <c r="O439" s="67"/>
      <c r="P439" s="67"/>
      <c r="Q439" s="67"/>
      <c r="R439" s="67"/>
      <c r="S439" s="67"/>
      <c r="T439" s="67"/>
      <c r="U439" s="67"/>
      <c r="V439" s="67"/>
      <c r="W439" s="329"/>
      <c r="X439" s="329"/>
      <c r="Y439" s="329"/>
      <c r="Z439" s="329"/>
      <c r="AA439" s="539"/>
      <c r="AB439" s="70"/>
      <c r="AC439" s="70"/>
      <c r="AD439" s="70"/>
      <c r="AE439" s="70"/>
      <c r="AF439" s="70"/>
      <c r="AG439" s="70"/>
    </row>
    <row r="440" spans="1:33" ht="15.75" customHeight="1">
      <c r="A440" s="70"/>
      <c r="B440" s="70"/>
      <c r="C440" s="69"/>
      <c r="D440" s="313"/>
      <c r="E440" s="67"/>
      <c r="F440" s="67"/>
      <c r="G440" s="67"/>
      <c r="H440" s="67"/>
      <c r="I440" s="67"/>
      <c r="J440" s="67"/>
      <c r="K440" s="67"/>
      <c r="L440" s="67"/>
      <c r="M440" s="67"/>
      <c r="N440" s="67"/>
      <c r="O440" s="67"/>
      <c r="P440" s="67"/>
      <c r="Q440" s="67"/>
      <c r="R440" s="67"/>
      <c r="S440" s="67"/>
      <c r="T440" s="67"/>
      <c r="U440" s="67"/>
      <c r="V440" s="67"/>
      <c r="W440" s="329"/>
      <c r="X440" s="329"/>
      <c r="Y440" s="329"/>
      <c r="Z440" s="329"/>
      <c r="AA440" s="539"/>
      <c r="AB440" s="70"/>
      <c r="AC440" s="70"/>
      <c r="AD440" s="70"/>
      <c r="AE440" s="70"/>
      <c r="AF440" s="70"/>
      <c r="AG440" s="70"/>
    </row>
    <row r="441" spans="1:33" ht="15.75" customHeight="1"/>
    <row r="442" spans="1:33" ht="15.75" customHeight="1"/>
    <row r="443" spans="1:33" ht="15.75" customHeight="1"/>
    <row r="444" spans="1:33" ht="15.75" customHeight="1"/>
    <row r="445" spans="1:33" ht="15.75" customHeight="1"/>
    <row r="446" spans="1:33" ht="15.75" customHeight="1"/>
    <row r="447" spans="1:33" ht="15.75" customHeight="1"/>
    <row r="448" spans="1:33"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sheetData>
  <mergeCells count="26">
    <mergeCell ref="H239:J239"/>
    <mergeCell ref="A235:C235"/>
    <mergeCell ref="E60:G61"/>
    <mergeCell ref="H60:J61"/>
    <mergeCell ref="A113:D113"/>
    <mergeCell ref="A184:D184"/>
    <mergeCell ref="A234:C234"/>
    <mergeCell ref="Q7:V7"/>
    <mergeCell ref="W7:Z7"/>
    <mergeCell ref="AA7:AA9"/>
    <mergeCell ref="N8:P8"/>
    <mergeCell ref="Q8:S8"/>
    <mergeCell ref="T8:V8"/>
    <mergeCell ref="W8:W9"/>
    <mergeCell ref="X8:X9"/>
    <mergeCell ref="Y8:Z8"/>
    <mergeCell ref="K8:M8"/>
    <mergeCell ref="E7:J7"/>
    <mergeCell ref="K7:P7"/>
    <mergeCell ref="A1:E1"/>
    <mergeCell ref="D7:D9"/>
    <mergeCell ref="A7:A9"/>
    <mergeCell ref="E8:G8"/>
    <mergeCell ref="H8:J8"/>
    <mergeCell ref="B7:B9"/>
    <mergeCell ref="C7:C9"/>
  </mergeCells>
  <pageMargins left="0" right="0" top="0" bottom="0" header="0.31496062992125984" footer="0.31496062992125984"/>
  <pageSetup paperSize="9" scale="45" fitToHeight="0" orientation="landscape" r:id="rId1"/>
  <colBreaks count="1" manualBreakCount="1">
    <brk id="27" max="2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40"/>
  <sheetViews>
    <sheetView topLeftCell="B284" zoomScale="98" zoomScaleNormal="98" workbookViewId="0">
      <selection activeCell="F287" sqref="F287"/>
    </sheetView>
  </sheetViews>
  <sheetFormatPr defaultColWidth="12.625" defaultRowHeight="15" customHeight="1"/>
  <cols>
    <col min="1" max="1" width="12.875" style="488" hidden="1" customWidth="1"/>
    <col min="2" max="2" width="10.25" style="491" customWidth="1"/>
    <col min="3" max="3" width="26.125" style="491" customWidth="1"/>
    <col min="4" max="4" width="13.25" style="488" customWidth="1"/>
    <col min="5" max="5" width="27.25" style="488" customWidth="1"/>
    <col min="6" max="6" width="12.25" style="488" customWidth="1"/>
    <col min="7" max="7" width="23.75" style="485" customWidth="1"/>
    <col min="8" max="8" width="32.25" style="485" customWidth="1"/>
    <col min="9" max="9" width="11.125" style="488" customWidth="1"/>
    <col min="10" max="10" width="38.75" style="488" customWidth="1"/>
    <col min="11" max="16384" width="12.625" style="488"/>
  </cols>
  <sheetData>
    <row r="1" spans="1:11" ht="14.25" customHeight="1">
      <c r="A1" s="485"/>
      <c r="B1" s="486"/>
      <c r="C1" s="486"/>
      <c r="D1" s="487"/>
      <c r="E1" s="485"/>
      <c r="F1" s="487"/>
      <c r="J1" s="489" t="s">
        <v>1056</v>
      </c>
    </row>
    <row r="2" spans="1:11" ht="32.25" customHeight="1">
      <c r="A2" s="485"/>
      <c r="B2" s="486"/>
      <c r="C2" s="486"/>
      <c r="D2" s="487"/>
      <c r="E2" s="485"/>
      <c r="F2" s="487"/>
      <c r="H2" s="752" t="s">
        <v>1060</v>
      </c>
      <c r="J2" s="485"/>
    </row>
    <row r="3" spans="1:11" ht="14.25" customHeight="1">
      <c r="A3" s="485"/>
      <c r="B3" s="486"/>
      <c r="C3" s="486"/>
      <c r="D3" s="487"/>
      <c r="E3" s="485"/>
      <c r="F3" s="487"/>
      <c r="H3" s="752"/>
      <c r="J3" s="485"/>
    </row>
    <row r="4" spans="1:11" ht="14.25" customHeight="1">
      <c r="A4" s="485"/>
      <c r="B4" s="490" t="s">
        <v>231</v>
      </c>
      <c r="C4" s="493" t="s">
        <v>1062</v>
      </c>
      <c r="E4" s="485"/>
      <c r="J4" s="485"/>
    </row>
    <row r="5" spans="1:11" ht="23.25" customHeight="1">
      <c r="A5" s="485"/>
      <c r="B5" s="827"/>
      <c r="C5" s="828"/>
      <c r="D5" s="828"/>
      <c r="E5" s="828"/>
      <c r="F5" s="828"/>
      <c r="J5" s="485"/>
    </row>
    <row r="6" spans="1:11" ht="14.25" customHeight="1">
      <c r="A6" s="485"/>
      <c r="B6" s="492" t="s">
        <v>232</v>
      </c>
      <c r="C6" s="493" t="s">
        <v>979</v>
      </c>
      <c r="E6" s="485"/>
      <c r="J6" s="485"/>
    </row>
    <row r="7" spans="1:11" ht="22.5" customHeight="1">
      <c r="A7" s="485"/>
      <c r="B7" s="827" t="s">
        <v>980</v>
      </c>
      <c r="C7" s="828"/>
      <c r="D7" s="828"/>
      <c r="E7" s="828"/>
      <c r="J7" s="485"/>
    </row>
    <row r="8" spans="1:11" ht="14.25" customHeight="1">
      <c r="A8" s="485"/>
      <c r="B8" s="486"/>
      <c r="C8" s="486"/>
      <c r="D8" s="487"/>
      <c r="E8" s="485"/>
      <c r="F8" s="487"/>
      <c r="J8" s="485"/>
    </row>
    <row r="9" spans="1:11" ht="14.25" customHeight="1">
      <c r="A9" s="621"/>
      <c r="B9" s="650" t="s">
        <v>233</v>
      </c>
      <c r="C9" s="651"/>
      <c r="D9" s="526"/>
      <c r="E9" s="652" t="s">
        <v>234</v>
      </c>
      <c r="F9" s="526"/>
      <c r="G9" s="510"/>
      <c r="H9" s="510"/>
      <c r="I9" s="526"/>
      <c r="J9" s="510"/>
      <c r="K9" s="528"/>
    </row>
    <row r="10" spans="1:11" ht="70.5" customHeight="1">
      <c r="A10" s="495" t="s">
        <v>235</v>
      </c>
      <c r="B10" s="598" t="s">
        <v>236</v>
      </c>
      <c r="C10" s="598" t="s">
        <v>39</v>
      </c>
      <c r="D10" s="653" t="s">
        <v>237</v>
      </c>
      <c r="E10" s="599" t="s">
        <v>238</v>
      </c>
      <c r="F10" s="654" t="s">
        <v>237</v>
      </c>
      <c r="G10" s="599" t="s">
        <v>239</v>
      </c>
      <c r="H10" s="599" t="s">
        <v>240</v>
      </c>
      <c r="I10" s="599" t="s">
        <v>241</v>
      </c>
      <c r="J10" s="599" t="s">
        <v>242</v>
      </c>
      <c r="K10" s="528"/>
    </row>
    <row r="11" spans="1:11" ht="14.25" customHeight="1">
      <c r="A11" s="622"/>
      <c r="B11" s="655" t="s">
        <v>243</v>
      </c>
      <c r="C11" s="656" t="s">
        <v>244</v>
      </c>
      <c r="D11" s="657">
        <v>26000</v>
      </c>
      <c r="E11" s="658"/>
      <c r="F11" s="659">
        <v>26000</v>
      </c>
      <c r="G11" s="658"/>
      <c r="H11" s="658"/>
      <c r="I11" s="659">
        <v>26000</v>
      </c>
      <c r="J11" s="658"/>
      <c r="K11" s="528"/>
    </row>
    <row r="12" spans="1:11" s="496" customFormat="1" ht="54.75" customHeight="1">
      <c r="A12" s="623"/>
      <c r="B12" s="660" t="s">
        <v>245</v>
      </c>
      <c r="C12" s="601" t="s">
        <v>246</v>
      </c>
      <c r="D12" s="832">
        <v>26000</v>
      </c>
      <c r="E12" s="812" t="s">
        <v>696</v>
      </c>
      <c r="F12" s="815">
        <v>26000</v>
      </c>
      <c r="G12" s="812" t="s">
        <v>695</v>
      </c>
      <c r="H12" s="812" t="s">
        <v>697</v>
      </c>
      <c r="I12" s="815">
        <v>26000</v>
      </c>
      <c r="J12" s="812" t="s">
        <v>692</v>
      </c>
      <c r="K12" s="636"/>
    </row>
    <row r="13" spans="1:11" s="496" customFormat="1" ht="371.25" customHeight="1">
      <c r="A13" s="623"/>
      <c r="B13" s="661"/>
      <c r="C13" s="661"/>
      <c r="D13" s="833"/>
      <c r="E13" s="812"/>
      <c r="F13" s="812"/>
      <c r="G13" s="812"/>
      <c r="H13" s="812"/>
      <c r="I13" s="812"/>
      <c r="J13" s="812"/>
      <c r="K13" s="636"/>
    </row>
    <row r="14" spans="1:11" ht="40.5" customHeight="1">
      <c r="A14" s="622"/>
      <c r="B14" s="655" t="s">
        <v>247</v>
      </c>
      <c r="C14" s="656" t="s">
        <v>248</v>
      </c>
      <c r="D14" s="657">
        <f>D15+D17</f>
        <v>54800</v>
      </c>
      <c r="E14" s="658"/>
      <c r="F14" s="662">
        <f>F15+F17</f>
        <v>54800</v>
      </c>
      <c r="G14" s="658"/>
      <c r="H14" s="658"/>
      <c r="I14" s="662">
        <v>54800</v>
      </c>
      <c r="J14" s="658"/>
      <c r="K14" s="528"/>
    </row>
    <row r="15" spans="1:11" s="496" customFormat="1" ht="207.75" customHeight="1">
      <c r="A15" s="623"/>
      <c r="B15" s="829" t="s">
        <v>249</v>
      </c>
      <c r="C15" s="812" t="s">
        <v>250</v>
      </c>
      <c r="D15" s="830">
        <v>28000</v>
      </c>
      <c r="E15" s="812" t="s">
        <v>981</v>
      </c>
      <c r="F15" s="815">
        <v>28000</v>
      </c>
      <c r="G15" s="812" t="s">
        <v>693</v>
      </c>
      <c r="H15" s="812" t="s">
        <v>698</v>
      </c>
      <c r="I15" s="815">
        <v>28000</v>
      </c>
      <c r="J15" s="812" t="s">
        <v>692</v>
      </c>
      <c r="K15" s="636"/>
    </row>
    <row r="16" spans="1:11" s="496" customFormat="1" ht="367.5" customHeight="1">
      <c r="A16" s="623"/>
      <c r="B16" s="820"/>
      <c r="C16" s="812"/>
      <c r="D16" s="831"/>
      <c r="E16" s="812"/>
      <c r="F16" s="812"/>
      <c r="G16" s="812"/>
      <c r="H16" s="812"/>
      <c r="I16" s="812"/>
      <c r="J16" s="812"/>
      <c r="K16" s="636"/>
    </row>
    <row r="17" spans="1:11" s="496" customFormat="1" ht="409.5" customHeight="1">
      <c r="A17" s="623"/>
      <c r="B17" s="829" t="s">
        <v>251</v>
      </c>
      <c r="C17" s="812" t="s">
        <v>252</v>
      </c>
      <c r="D17" s="815">
        <v>26800</v>
      </c>
      <c r="E17" s="812" t="s">
        <v>691</v>
      </c>
      <c r="F17" s="815">
        <v>26800</v>
      </c>
      <c r="G17" s="812" t="s">
        <v>694</v>
      </c>
      <c r="H17" s="812" t="s">
        <v>698</v>
      </c>
      <c r="I17" s="815">
        <v>26800</v>
      </c>
      <c r="J17" s="812" t="s">
        <v>692</v>
      </c>
      <c r="K17" s="636"/>
    </row>
    <row r="18" spans="1:11" ht="409.5" customHeight="1">
      <c r="A18" s="622"/>
      <c r="B18" s="820"/>
      <c r="C18" s="812"/>
      <c r="D18" s="812"/>
      <c r="E18" s="812"/>
      <c r="F18" s="812"/>
      <c r="G18" s="812"/>
      <c r="H18" s="812"/>
      <c r="I18" s="812"/>
      <c r="J18" s="812"/>
      <c r="K18" s="528"/>
    </row>
    <row r="19" spans="1:11" ht="21" customHeight="1">
      <c r="A19" s="622"/>
      <c r="B19" s="655" t="s">
        <v>253</v>
      </c>
      <c r="C19" s="656" t="s">
        <v>57</v>
      </c>
      <c r="D19" s="657">
        <f>D20+D22+D23+D24+D25+D26+D27+D28+D21</f>
        <v>199000</v>
      </c>
      <c r="E19" s="658"/>
      <c r="F19" s="662">
        <f>F20+F21+F22+F23+F24+F25+F26+F27+F28</f>
        <v>199000</v>
      </c>
      <c r="G19" s="662"/>
      <c r="H19" s="662"/>
      <c r="I19" s="662">
        <f t="shared" ref="I19" si="0">I20+I21+I22+I23+I24+I25+I26+I27+I28</f>
        <v>199000</v>
      </c>
      <c r="J19" s="658"/>
      <c r="K19" s="528"/>
    </row>
    <row r="20" spans="1:11" s="494" customFormat="1" ht="166.5" customHeight="1">
      <c r="A20" s="624"/>
      <c r="B20" s="663" t="s">
        <v>254</v>
      </c>
      <c r="C20" s="601" t="s">
        <v>255</v>
      </c>
      <c r="D20" s="664">
        <v>32000</v>
      </c>
      <c r="E20" s="601" t="s">
        <v>256</v>
      </c>
      <c r="F20" s="504">
        <v>32000</v>
      </c>
      <c r="G20" s="601" t="s">
        <v>982</v>
      </c>
      <c r="H20" s="601" t="s">
        <v>257</v>
      </c>
      <c r="I20" s="504">
        <f>2880+240+1440+120+1440+120+12880+6440+6440</f>
        <v>32000</v>
      </c>
      <c r="J20" s="601" t="s">
        <v>258</v>
      </c>
      <c r="K20" s="519"/>
    </row>
    <row r="21" spans="1:11" s="494" customFormat="1" ht="224.25" customHeight="1">
      <c r="A21" s="624"/>
      <c r="B21" s="665" t="s">
        <v>259</v>
      </c>
      <c r="C21" s="601" t="s">
        <v>260</v>
      </c>
      <c r="D21" s="664">
        <v>30000</v>
      </c>
      <c r="E21" s="601" t="s">
        <v>261</v>
      </c>
      <c r="F21" s="504">
        <v>30000</v>
      </c>
      <c r="G21" s="601" t="s">
        <v>677</v>
      </c>
      <c r="H21" s="601" t="s">
        <v>674</v>
      </c>
      <c r="I21" s="504">
        <f>120+2700+225+1440+105+1260+12075+5635+6440</f>
        <v>30000</v>
      </c>
      <c r="J21" s="601" t="s">
        <v>262</v>
      </c>
      <c r="K21" s="519"/>
    </row>
    <row r="22" spans="1:11" s="494" customFormat="1" ht="132.75" customHeight="1">
      <c r="A22" s="624"/>
      <c r="B22" s="665" t="s">
        <v>263</v>
      </c>
      <c r="C22" s="601" t="s">
        <v>264</v>
      </c>
      <c r="D22" s="664">
        <v>18000</v>
      </c>
      <c r="E22" s="601" t="s">
        <v>265</v>
      </c>
      <c r="F22" s="504">
        <v>18000</v>
      </c>
      <c r="G22" s="601" t="s">
        <v>678</v>
      </c>
      <c r="H22" s="666" t="s">
        <v>675</v>
      </c>
      <c r="I22" s="504">
        <f>4830+9660+90+1080+180+2160</f>
        <v>18000</v>
      </c>
      <c r="J22" s="601" t="s">
        <v>676</v>
      </c>
      <c r="K22" s="519"/>
    </row>
    <row r="23" spans="1:11" s="494" customFormat="1" ht="189.75" customHeight="1">
      <c r="A23" s="624"/>
      <c r="B23" s="665" t="s">
        <v>266</v>
      </c>
      <c r="C23" s="601" t="s">
        <v>267</v>
      </c>
      <c r="D23" s="664">
        <v>26000</v>
      </c>
      <c r="E23" s="601" t="s">
        <v>268</v>
      </c>
      <c r="F23" s="504">
        <v>26000</v>
      </c>
      <c r="G23" s="601" t="s">
        <v>679</v>
      </c>
      <c r="H23" s="601" t="s">
        <v>269</v>
      </c>
      <c r="I23" s="504">
        <f>2520+210+1260+105+75+900+11270+5635+4025</f>
        <v>26000</v>
      </c>
      <c r="J23" s="601" t="s">
        <v>680</v>
      </c>
      <c r="K23" s="519"/>
    </row>
    <row r="24" spans="1:11" s="494" customFormat="1" ht="155.25" customHeight="1">
      <c r="A24" s="624"/>
      <c r="B24" s="665" t="s">
        <v>270</v>
      </c>
      <c r="C24" s="601" t="s">
        <v>271</v>
      </c>
      <c r="D24" s="664">
        <v>21000</v>
      </c>
      <c r="E24" s="601" t="s">
        <v>272</v>
      </c>
      <c r="F24" s="504">
        <v>21000</v>
      </c>
      <c r="G24" s="601" t="s">
        <v>273</v>
      </c>
      <c r="H24" s="601" t="s">
        <v>274</v>
      </c>
      <c r="I24" s="504">
        <f>2520+210+1260+105+11270+5635</f>
        <v>21000</v>
      </c>
      <c r="J24" s="601" t="s">
        <v>275</v>
      </c>
      <c r="K24" s="519"/>
    </row>
    <row r="25" spans="1:11" s="494" customFormat="1" ht="141" customHeight="1">
      <c r="A25" s="624"/>
      <c r="B25" s="665" t="s">
        <v>276</v>
      </c>
      <c r="C25" s="601" t="s">
        <v>277</v>
      </c>
      <c r="D25" s="664">
        <v>9000</v>
      </c>
      <c r="E25" s="601" t="s">
        <v>278</v>
      </c>
      <c r="F25" s="504">
        <v>9000</v>
      </c>
      <c r="G25" s="601" t="s">
        <v>685</v>
      </c>
      <c r="H25" s="601" t="s">
        <v>279</v>
      </c>
      <c r="I25" s="504">
        <f>900+75+720+60+4025+3220</f>
        <v>9000</v>
      </c>
      <c r="J25" s="601" t="s">
        <v>681</v>
      </c>
      <c r="K25" s="519"/>
    </row>
    <row r="26" spans="1:11" s="494" customFormat="1" ht="270" customHeight="1">
      <c r="A26" s="624"/>
      <c r="B26" s="665" t="s">
        <v>280</v>
      </c>
      <c r="C26" s="601" t="s">
        <v>281</v>
      </c>
      <c r="D26" s="664">
        <v>28000</v>
      </c>
      <c r="E26" s="601" t="s">
        <v>282</v>
      </c>
      <c r="F26" s="504">
        <f>14000+8000+6000</f>
        <v>28000</v>
      </c>
      <c r="G26" s="601" t="s">
        <v>684</v>
      </c>
      <c r="H26" s="601" t="s">
        <v>682</v>
      </c>
      <c r="I26" s="504">
        <f>2520+210+1440+120+90+1080+11270+6440+4830</f>
        <v>28000</v>
      </c>
      <c r="J26" s="601" t="s">
        <v>683</v>
      </c>
      <c r="K26" s="519"/>
    </row>
    <row r="27" spans="1:11" s="494" customFormat="1" ht="177" customHeight="1">
      <c r="A27" s="624"/>
      <c r="B27" s="665" t="s">
        <v>283</v>
      </c>
      <c r="C27" s="601" t="s">
        <v>284</v>
      </c>
      <c r="D27" s="664">
        <v>20000</v>
      </c>
      <c r="E27" s="601" t="s">
        <v>285</v>
      </c>
      <c r="F27" s="504">
        <f>20000</f>
        <v>20000</v>
      </c>
      <c r="G27" s="601" t="s">
        <v>686</v>
      </c>
      <c r="H27" s="601" t="s">
        <v>286</v>
      </c>
      <c r="I27" s="667">
        <f>2236.14+186.34+10000.52+1363.86+113.65+6099.49</f>
        <v>20000</v>
      </c>
      <c r="J27" s="603" t="s">
        <v>923</v>
      </c>
      <c r="K27" s="519"/>
    </row>
    <row r="28" spans="1:11" s="494" customFormat="1" ht="191.25" customHeight="1">
      <c r="A28" s="624"/>
      <c r="B28" s="665" t="s">
        <v>287</v>
      </c>
      <c r="C28" s="601" t="s">
        <v>288</v>
      </c>
      <c r="D28" s="664">
        <v>15000</v>
      </c>
      <c r="E28" s="601" t="s">
        <v>289</v>
      </c>
      <c r="F28" s="504">
        <f t="shared" ref="F28" si="1">I28</f>
        <v>15000</v>
      </c>
      <c r="G28" s="601" t="s">
        <v>687</v>
      </c>
      <c r="H28" s="601" t="s">
        <v>688</v>
      </c>
      <c r="I28" s="504">
        <f>1800+150+900+75+8050+4025</f>
        <v>15000</v>
      </c>
      <c r="J28" s="601" t="s">
        <v>689</v>
      </c>
      <c r="K28" s="519"/>
    </row>
    <row r="29" spans="1:11" ht="14.25" customHeight="1">
      <c r="A29" s="625"/>
      <c r="B29" s="655" t="s">
        <v>290</v>
      </c>
      <c r="C29" s="656" t="s">
        <v>67</v>
      </c>
      <c r="D29" s="657">
        <f>D30+D31+D32</f>
        <v>61556</v>
      </c>
      <c r="E29" s="657"/>
      <c r="F29" s="657">
        <f t="shared" ref="F29" si="2">F30+F31+F32</f>
        <v>61556</v>
      </c>
      <c r="G29" s="658"/>
      <c r="H29" s="658"/>
      <c r="I29" s="662">
        <f>I30+I31+I32</f>
        <v>61556</v>
      </c>
      <c r="J29" s="658"/>
      <c r="K29" s="528"/>
    </row>
    <row r="30" spans="1:11" s="494" customFormat="1" ht="185.25" customHeight="1">
      <c r="A30" s="626"/>
      <c r="B30" s="600" t="s">
        <v>291</v>
      </c>
      <c r="C30" s="527" t="s">
        <v>68</v>
      </c>
      <c r="D30" s="664">
        <v>5720</v>
      </c>
      <c r="E30" s="601"/>
      <c r="F30" s="504">
        <v>5720</v>
      </c>
      <c r="G30" s="601"/>
      <c r="H30" s="601"/>
      <c r="I30" s="504">
        <v>5720</v>
      </c>
      <c r="J30" s="668" t="s">
        <v>983</v>
      </c>
      <c r="K30" s="519"/>
    </row>
    <row r="31" spans="1:11" s="496" customFormat="1" ht="120" customHeight="1">
      <c r="A31" s="627"/>
      <c r="B31" s="600" t="s">
        <v>292</v>
      </c>
      <c r="C31" s="527" t="s">
        <v>69</v>
      </c>
      <c r="D31" s="664">
        <v>12056</v>
      </c>
      <c r="E31" s="661"/>
      <c r="F31" s="504">
        <v>12056</v>
      </c>
      <c r="G31" s="601"/>
      <c r="H31" s="601"/>
      <c r="I31" s="504">
        <v>12056</v>
      </c>
      <c r="J31" s="603" t="s">
        <v>699</v>
      </c>
      <c r="K31" s="636"/>
    </row>
    <row r="32" spans="1:11" s="496" customFormat="1" ht="260.25" customHeight="1">
      <c r="A32" s="627"/>
      <c r="B32" s="600" t="s">
        <v>293</v>
      </c>
      <c r="C32" s="601" t="s">
        <v>57</v>
      </c>
      <c r="D32" s="664">
        <v>43780</v>
      </c>
      <c r="E32" s="601"/>
      <c r="F32" s="504">
        <v>43780</v>
      </c>
      <c r="G32" s="601"/>
      <c r="H32" s="601"/>
      <c r="I32" s="504">
        <f>2733.06+1666.94+1320+1760+3080+880+1100+3080+1540+1540+1100+3080+1320+2640+3300+1760+1540+3520+1760+1760+1100+2200</f>
        <v>43780</v>
      </c>
      <c r="J32" s="601" t="s">
        <v>690</v>
      </c>
      <c r="K32" s="636"/>
    </row>
    <row r="33" spans="1:11" ht="14.25" customHeight="1">
      <c r="A33" s="625"/>
      <c r="B33" s="655" t="s">
        <v>294</v>
      </c>
      <c r="C33" s="656" t="s">
        <v>70</v>
      </c>
      <c r="D33" s="659">
        <v>0</v>
      </c>
      <c r="E33" s="658"/>
      <c r="F33" s="662"/>
      <c r="G33" s="658"/>
      <c r="H33" s="658"/>
      <c r="I33" s="662"/>
      <c r="J33" s="658"/>
      <c r="K33" s="528"/>
    </row>
    <row r="34" spans="1:11" ht="14.25" customHeight="1">
      <c r="A34" s="625"/>
      <c r="B34" s="669" t="s">
        <v>295</v>
      </c>
      <c r="C34" s="605" t="s">
        <v>296</v>
      </c>
      <c r="D34" s="670">
        <v>0</v>
      </c>
      <c r="E34" s="510"/>
      <c r="F34" s="534"/>
      <c r="G34" s="510"/>
      <c r="H34" s="510"/>
      <c r="I34" s="534"/>
      <c r="J34" s="510"/>
      <c r="K34" s="528"/>
    </row>
    <row r="35" spans="1:11" ht="14.25" customHeight="1">
      <c r="A35" s="625"/>
      <c r="B35" s="669" t="s">
        <v>297</v>
      </c>
      <c r="C35" s="605" t="s">
        <v>296</v>
      </c>
      <c r="D35" s="670">
        <v>0</v>
      </c>
      <c r="E35" s="510"/>
      <c r="F35" s="534"/>
      <c r="G35" s="510"/>
      <c r="H35" s="510"/>
      <c r="I35" s="534"/>
      <c r="J35" s="510"/>
      <c r="K35" s="528"/>
    </row>
    <row r="36" spans="1:11" ht="14.25" customHeight="1" thickBot="1">
      <c r="A36" s="625"/>
      <c r="B36" s="669" t="s">
        <v>298</v>
      </c>
      <c r="C36" s="605" t="s">
        <v>296</v>
      </c>
      <c r="D36" s="670">
        <v>0</v>
      </c>
      <c r="E36" s="510"/>
      <c r="F36" s="534"/>
      <c r="G36" s="510"/>
      <c r="H36" s="510"/>
      <c r="I36" s="534"/>
      <c r="J36" s="510"/>
      <c r="K36" s="528"/>
    </row>
    <row r="37" spans="1:11" s="1" customFormat="1" ht="30" customHeight="1" thickBot="1">
      <c r="A37" s="170" t="s">
        <v>633</v>
      </c>
      <c r="B37" s="671" t="s">
        <v>633</v>
      </c>
      <c r="C37" s="672"/>
      <c r="D37" s="673">
        <v>341356</v>
      </c>
      <c r="E37" s="674"/>
      <c r="F37" s="675"/>
      <c r="G37" s="675"/>
      <c r="H37" s="675"/>
      <c r="I37" s="675"/>
      <c r="J37" s="675"/>
      <c r="K37" s="646"/>
    </row>
    <row r="38" spans="1:11" ht="14.25" customHeight="1">
      <c r="A38" s="625"/>
      <c r="B38" s="676" t="s">
        <v>299</v>
      </c>
      <c r="C38" s="677" t="s">
        <v>72</v>
      </c>
      <c r="D38" s="659">
        <v>0</v>
      </c>
      <c r="E38" s="658"/>
      <c r="F38" s="662"/>
      <c r="G38" s="658"/>
      <c r="H38" s="658"/>
      <c r="I38" s="662"/>
      <c r="J38" s="658"/>
      <c r="K38" s="528"/>
    </row>
    <row r="39" spans="1:11" ht="14.25" customHeight="1">
      <c r="A39" s="625"/>
      <c r="B39" s="604" t="s">
        <v>300</v>
      </c>
      <c r="C39" s="678" t="s">
        <v>301</v>
      </c>
      <c r="D39" s="670">
        <v>0</v>
      </c>
      <c r="E39" s="510"/>
      <c r="F39" s="534"/>
      <c r="G39" s="510"/>
      <c r="H39" s="510"/>
      <c r="I39" s="534"/>
      <c r="J39" s="510"/>
      <c r="K39" s="528"/>
    </row>
    <row r="40" spans="1:11" ht="14.25" customHeight="1">
      <c r="A40" s="625"/>
      <c r="B40" s="604" t="s">
        <v>302</v>
      </c>
      <c r="C40" s="678" t="s">
        <v>301</v>
      </c>
      <c r="D40" s="670">
        <v>0</v>
      </c>
      <c r="E40" s="510"/>
      <c r="F40" s="534"/>
      <c r="G40" s="510"/>
      <c r="H40" s="510"/>
      <c r="I40" s="534"/>
      <c r="J40" s="510"/>
      <c r="K40" s="528"/>
    </row>
    <row r="41" spans="1:11" ht="14.25" customHeight="1">
      <c r="A41" s="625"/>
      <c r="B41" s="604" t="s">
        <v>303</v>
      </c>
      <c r="C41" s="678" t="s">
        <v>301</v>
      </c>
      <c r="D41" s="670">
        <v>0</v>
      </c>
      <c r="E41" s="510"/>
      <c r="F41" s="534"/>
      <c r="G41" s="510"/>
      <c r="H41" s="510"/>
      <c r="I41" s="534"/>
      <c r="J41" s="510"/>
      <c r="K41" s="528"/>
    </row>
    <row r="42" spans="1:11" ht="14.25" customHeight="1">
      <c r="A42" s="625"/>
      <c r="B42" s="676" t="s">
        <v>304</v>
      </c>
      <c r="C42" s="679" t="s">
        <v>74</v>
      </c>
      <c r="D42" s="659">
        <v>0</v>
      </c>
      <c r="E42" s="658"/>
      <c r="F42" s="662"/>
      <c r="G42" s="658"/>
      <c r="H42" s="658"/>
      <c r="I42" s="662"/>
      <c r="J42" s="658"/>
      <c r="K42" s="528"/>
    </row>
    <row r="43" spans="1:11" ht="14.25" customHeight="1">
      <c r="A43" s="625"/>
      <c r="B43" s="604" t="s">
        <v>305</v>
      </c>
      <c r="C43" s="678" t="s">
        <v>75</v>
      </c>
      <c r="D43" s="670">
        <v>0</v>
      </c>
      <c r="E43" s="510"/>
      <c r="F43" s="534"/>
      <c r="G43" s="510"/>
      <c r="H43" s="510"/>
      <c r="I43" s="534"/>
      <c r="J43" s="510"/>
      <c r="K43" s="528"/>
    </row>
    <row r="44" spans="1:11" ht="14.25" customHeight="1">
      <c r="A44" s="625"/>
      <c r="B44" s="604" t="s">
        <v>306</v>
      </c>
      <c r="C44" s="605" t="s">
        <v>75</v>
      </c>
      <c r="D44" s="670">
        <v>0</v>
      </c>
      <c r="E44" s="510"/>
      <c r="F44" s="534"/>
      <c r="G44" s="510"/>
      <c r="H44" s="510"/>
      <c r="I44" s="534"/>
      <c r="J44" s="510"/>
      <c r="K44" s="528"/>
    </row>
    <row r="45" spans="1:11" ht="14.25" customHeight="1">
      <c r="A45" s="625"/>
      <c r="B45" s="604" t="s">
        <v>307</v>
      </c>
      <c r="C45" s="678" t="s">
        <v>75</v>
      </c>
      <c r="D45" s="670">
        <v>0</v>
      </c>
      <c r="E45" s="510"/>
      <c r="F45" s="534"/>
      <c r="G45" s="510"/>
      <c r="H45" s="510"/>
      <c r="I45" s="534"/>
      <c r="J45" s="510"/>
      <c r="K45" s="528"/>
    </row>
    <row r="46" spans="1:11" ht="14.25" customHeight="1">
      <c r="A46" s="625"/>
      <c r="B46" s="676" t="s">
        <v>308</v>
      </c>
      <c r="C46" s="679" t="s">
        <v>77</v>
      </c>
      <c r="D46" s="659">
        <v>0</v>
      </c>
      <c r="E46" s="658"/>
      <c r="F46" s="662"/>
      <c r="G46" s="658"/>
      <c r="H46" s="658"/>
      <c r="I46" s="662"/>
      <c r="J46" s="658"/>
      <c r="K46" s="528"/>
    </row>
    <row r="47" spans="1:11" ht="14.25" customHeight="1">
      <c r="A47" s="625"/>
      <c r="B47" s="604" t="s">
        <v>309</v>
      </c>
      <c r="C47" s="678" t="s">
        <v>78</v>
      </c>
      <c r="D47" s="670">
        <v>0</v>
      </c>
      <c r="E47" s="510"/>
      <c r="F47" s="534"/>
      <c r="G47" s="510"/>
      <c r="H47" s="510"/>
      <c r="I47" s="534"/>
      <c r="J47" s="510"/>
      <c r="K47" s="528"/>
    </row>
    <row r="48" spans="1:11" ht="14.25" customHeight="1">
      <c r="A48" s="625"/>
      <c r="B48" s="604" t="s">
        <v>310</v>
      </c>
      <c r="C48" s="678" t="s">
        <v>79</v>
      </c>
      <c r="D48" s="670">
        <v>0</v>
      </c>
      <c r="E48" s="510"/>
      <c r="F48" s="534"/>
      <c r="G48" s="510"/>
      <c r="H48" s="510"/>
      <c r="I48" s="534"/>
      <c r="J48" s="510"/>
      <c r="K48" s="528"/>
    </row>
    <row r="49" spans="1:11" ht="14.25" customHeight="1">
      <c r="A49" s="625"/>
      <c r="B49" s="604" t="s">
        <v>311</v>
      </c>
      <c r="C49" s="678" t="s">
        <v>78</v>
      </c>
      <c r="D49" s="670">
        <v>0</v>
      </c>
      <c r="E49" s="510"/>
      <c r="F49" s="534"/>
      <c r="G49" s="510"/>
      <c r="H49" s="510"/>
      <c r="I49" s="534"/>
      <c r="J49" s="510"/>
      <c r="K49" s="528"/>
    </row>
    <row r="50" spans="1:11" ht="14.25" customHeight="1">
      <c r="A50" s="625"/>
      <c r="B50" s="676" t="s">
        <v>312</v>
      </c>
      <c r="C50" s="677" t="s">
        <v>82</v>
      </c>
      <c r="D50" s="659">
        <v>0</v>
      </c>
      <c r="E50" s="658"/>
      <c r="F50" s="662"/>
      <c r="G50" s="658"/>
      <c r="H50" s="658"/>
      <c r="I50" s="662"/>
      <c r="J50" s="658"/>
      <c r="K50" s="528"/>
    </row>
    <row r="51" spans="1:11" s="606" customFormat="1" ht="14.25" customHeight="1">
      <c r="A51" s="628"/>
      <c r="B51" s="680" t="s">
        <v>313</v>
      </c>
      <c r="C51" s="681" t="s">
        <v>89</v>
      </c>
      <c r="D51" s="682">
        <f>D52+D53+D54+D55+D56</f>
        <v>91200</v>
      </c>
      <c r="E51" s="683"/>
      <c r="F51" s="684">
        <f>F53+F54+F56+F55</f>
        <v>75400</v>
      </c>
      <c r="G51" s="684"/>
      <c r="H51" s="684"/>
      <c r="I51" s="684">
        <f t="shared" ref="I51:J51" si="3">I53+I54+I56+I55</f>
        <v>75400</v>
      </c>
      <c r="J51" s="684" t="e">
        <f t="shared" si="3"/>
        <v>#VALUE!</v>
      </c>
      <c r="K51" s="632"/>
    </row>
    <row r="52" spans="1:11" ht="66.75" customHeight="1">
      <c r="A52" s="625"/>
      <c r="B52" s="604" t="s">
        <v>314</v>
      </c>
      <c r="C52" s="678" t="s">
        <v>315</v>
      </c>
      <c r="D52" s="534">
        <v>0</v>
      </c>
      <c r="E52" s="510"/>
      <c r="F52" s="534"/>
      <c r="G52" s="510"/>
      <c r="H52" s="510"/>
      <c r="I52" s="534"/>
      <c r="J52" s="510"/>
      <c r="K52" s="528"/>
    </row>
    <row r="53" spans="1:11" s="496" customFormat="1" ht="212.25" customHeight="1">
      <c r="A53" s="627"/>
      <c r="B53" s="600" t="s">
        <v>316</v>
      </c>
      <c r="C53" s="527" t="s">
        <v>317</v>
      </c>
      <c r="D53" s="504">
        <v>34200</v>
      </c>
      <c r="E53" s="601" t="s">
        <v>834</v>
      </c>
      <c r="F53" s="504">
        <v>50400</v>
      </c>
      <c r="G53" s="601" t="s">
        <v>833</v>
      </c>
      <c r="H53" s="601" t="s">
        <v>673</v>
      </c>
      <c r="I53" s="504">
        <v>50400</v>
      </c>
      <c r="J53" s="755" t="s">
        <v>1063</v>
      </c>
      <c r="K53" s="636"/>
    </row>
    <row r="54" spans="1:11" ht="90.75" customHeight="1">
      <c r="A54" s="625"/>
      <c r="B54" s="604" t="s">
        <v>318</v>
      </c>
      <c r="C54" s="678" t="s">
        <v>319</v>
      </c>
      <c r="D54" s="685">
        <v>21000</v>
      </c>
      <c r="E54" s="510"/>
      <c r="F54" s="534">
        <v>0</v>
      </c>
      <c r="G54" s="510"/>
      <c r="H54" s="510"/>
      <c r="I54" s="534">
        <v>0</v>
      </c>
      <c r="J54" s="510"/>
      <c r="K54" s="528"/>
    </row>
    <row r="55" spans="1:11" ht="14.25" customHeight="1">
      <c r="A55" s="625"/>
      <c r="B55" s="604" t="s">
        <v>320</v>
      </c>
      <c r="C55" s="678" t="s">
        <v>321</v>
      </c>
      <c r="D55" s="534">
        <v>0</v>
      </c>
      <c r="E55" s="510"/>
      <c r="F55" s="534">
        <v>0</v>
      </c>
      <c r="G55" s="510"/>
      <c r="H55" s="510"/>
      <c r="I55" s="534">
        <v>0</v>
      </c>
      <c r="J55" s="510"/>
      <c r="K55" s="528"/>
    </row>
    <row r="56" spans="1:11" s="496" customFormat="1" ht="253.5" customHeight="1">
      <c r="A56" s="627"/>
      <c r="B56" s="600" t="s">
        <v>322</v>
      </c>
      <c r="C56" s="527" t="s">
        <v>92</v>
      </c>
      <c r="D56" s="504">
        <v>36000</v>
      </c>
      <c r="E56" s="601" t="s">
        <v>672</v>
      </c>
      <c r="F56" s="504">
        <v>25000</v>
      </c>
      <c r="G56" s="601" t="s">
        <v>671</v>
      </c>
      <c r="H56" s="603" t="s">
        <v>898</v>
      </c>
      <c r="I56" s="504">
        <v>25000</v>
      </c>
      <c r="J56" s="507" t="s">
        <v>1064</v>
      </c>
      <c r="K56" s="636"/>
    </row>
    <row r="57" spans="1:11" ht="61.5" customHeight="1">
      <c r="A57" s="625"/>
      <c r="B57" s="676" t="s">
        <v>323</v>
      </c>
      <c r="C57" s="679" t="s">
        <v>324</v>
      </c>
      <c r="D57" s="686">
        <f>D58+D61+D62+D63+D64+D65+D68+D69+D70+D71+D72+D73+D74+D75+D76+D77</f>
        <v>391250</v>
      </c>
      <c r="E57" s="686" t="e">
        <f t="shared" ref="E57:I57" si="4">E58+E61+E62+E63+E64+E65+E68+E69+E70+E71+E72+E73+E74+E75+E76+E77</f>
        <v>#VALUE!</v>
      </c>
      <c r="F57" s="686">
        <f t="shared" si="4"/>
        <v>371150</v>
      </c>
      <c r="G57" s="686"/>
      <c r="H57" s="686"/>
      <c r="I57" s="686">
        <f t="shared" si="4"/>
        <v>371150</v>
      </c>
      <c r="J57" s="686"/>
      <c r="K57" s="528"/>
    </row>
    <row r="58" spans="1:11" s="496" customFormat="1" ht="67.5" customHeight="1">
      <c r="A58" s="627"/>
      <c r="B58" s="819" t="s">
        <v>325</v>
      </c>
      <c r="C58" s="816" t="s">
        <v>326</v>
      </c>
      <c r="D58" s="815">
        <v>154000</v>
      </c>
      <c r="E58" s="601"/>
      <c r="F58" s="504">
        <f>F59+F60</f>
        <v>93240</v>
      </c>
      <c r="G58" s="601"/>
      <c r="H58" s="601"/>
      <c r="I58" s="504">
        <f>I59+I60</f>
        <v>93240</v>
      </c>
      <c r="J58" s="661"/>
      <c r="K58" s="636"/>
    </row>
    <row r="59" spans="1:11" s="606" customFormat="1" ht="409.6" customHeight="1">
      <c r="A59" s="629"/>
      <c r="B59" s="820"/>
      <c r="C59" s="816"/>
      <c r="D59" s="812"/>
      <c r="E59" s="687" t="s">
        <v>984</v>
      </c>
      <c r="F59" s="688">
        <v>63340</v>
      </c>
      <c r="G59" s="687" t="s">
        <v>835</v>
      </c>
      <c r="H59" s="687" t="s">
        <v>725</v>
      </c>
      <c r="I59" s="688">
        <f>40000+23340</f>
        <v>63340</v>
      </c>
      <c r="J59" s="687" t="s">
        <v>726</v>
      </c>
      <c r="K59" s="632"/>
    </row>
    <row r="60" spans="1:11" s="606" customFormat="1" ht="409.6" customHeight="1">
      <c r="A60" s="629"/>
      <c r="B60" s="820"/>
      <c r="C60" s="816"/>
      <c r="D60" s="812"/>
      <c r="E60" s="687" t="s">
        <v>985</v>
      </c>
      <c r="F60" s="688">
        <v>29900</v>
      </c>
      <c r="G60" s="687" t="s">
        <v>986</v>
      </c>
      <c r="H60" s="687" t="s">
        <v>727</v>
      </c>
      <c r="I60" s="688">
        <v>29900</v>
      </c>
      <c r="J60" s="687" t="s">
        <v>1065</v>
      </c>
      <c r="K60" s="632"/>
    </row>
    <row r="61" spans="1:11" ht="51" customHeight="1">
      <c r="A61" s="625"/>
      <c r="B61" s="604" t="s">
        <v>327</v>
      </c>
      <c r="C61" s="689" t="s">
        <v>93</v>
      </c>
      <c r="D61" s="534">
        <v>14000</v>
      </c>
      <c r="E61" s="690"/>
      <c r="F61" s="534">
        <v>0</v>
      </c>
      <c r="G61" s="691"/>
      <c r="H61" s="510"/>
      <c r="I61" s="534">
        <v>0</v>
      </c>
      <c r="J61" s="510"/>
      <c r="K61" s="528"/>
    </row>
    <row r="62" spans="1:11" s="494" customFormat="1" ht="263.25" customHeight="1">
      <c r="A62" s="626"/>
      <c r="B62" s="600" t="s">
        <v>328</v>
      </c>
      <c r="C62" s="692" t="s">
        <v>94</v>
      </c>
      <c r="D62" s="504">
        <v>6750</v>
      </c>
      <c r="E62" s="603" t="s">
        <v>987</v>
      </c>
      <c r="F62" s="504">
        <v>6750</v>
      </c>
      <c r="G62" s="601" t="s">
        <v>836</v>
      </c>
      <c r="H62" s="601" t="s">
        <v>731</v>
      </c>
      <c r="I62" s="504">
        <v>6750</v>
      </c>
      <c r="J62" s="601" t="s">
        <v>729</v>
      </c>
      <c r="K62" s="519"/>
    </row>
    <row r="63" spans="1:11" s="497" customFormat="1" ht="130.5" customHeight="1">
      <c r="A63" s="630"/>
      <c r="B63" s="602" t="s">
        <v>329</v>
      </c>
      <c r="C63" s="693" t="s">
        <v>330</v>
      </c>
      <c r="D63" s="506">
        <v>18000</v>
      </c>
      <c r="E63" s="603" t="s">
        <v>331</v>
      </c>
      <c r="F63" s="506">
        <f>I63</f>
        <v>18000</v>
      </c>
      <c r="G63" s="603" t="s">
        <v>732</v>
      </c>
      <c r="H63" s="603" t="s">
        <v>827</v>
      </c>
      <c r="I63" s="506">
        <v>18000</v>
      </c>
      <c r="J63" s="603" t="s">
        <v>332</v>
      </c>
      <c r="K63" s="515"/>
    </row>
    <row r="64" spans="1:11" s="494" customFormat="1" ht="165.75" customHeight="1">
      <c r="A64" s="626"/>
      <c r="B64" s="600" t="s">
        <v>333</v>
      </c>
      <c r="C64" s="694" t="s">
        <v>97</v>
      </c>
      <c r="D64" s="504">
        <v>38000</v>
      </c>
      <c r="E64" s="601" t="s">
        <v>734</v>
      </c>
      <c r="F64" s="504">
        <v>46000</v>
      </c>
      <c r="G64" s="601" t="s">
        <v>988</v>
      </c>
      <c r="H64" s="601" t="s">
        <v>733</v>
      </c>
      <c r="I64" s="504">
        <v>46000</v>
      </c>
      <c r="J64" s="753" t="s">
        <v>1066</v>
      </c>
      <c r="K64" s="519"/>
    </row>
    <row r="65" spans="1:11" ht="61.5" customHeight="1">
      <c r="A65" s="625"/>
      <c r="B65" s="825" t="s">
        <v>334</v>
      </c>
      <c r="C65" s="834" t="s">
        <v>98</v>
      </c>
      <c r="D65" s="815">
        <v>70000</v>
      </c>
      <c r="E65" s="601"/>
      <c r="F65" s="504">
        <f>F66+F67</f>
        <v>120000</v>
      </c>
      <c r="G65" s="603"/>
      <c r="H65" s="601"/>
      <c r="I65" s="504">
        <f>I66+I67</f>
        <v>120000</v>
      </c>
      <c r="J65" s="661"/>
      <c r="K65" s="528"/>
    </row>
    <row r="66" spans="1:11" s="494" customFormat="1" ht="340.5" customHeight="1">
      <c r="A66" s="626"/>
      <c r="B66" s="826"/>
      <c r="C66" s="812"/>
      <c r="D66" s="812"/>
      <c r="E66" s="601" t="s">
        <v>989</v>
      </c>
      <c r="F66" s="504">
        <v>90000</v>
      </c>
      <c r="G66" s="603" t="s">
        <v>842</v>
      </c>
      <c r="H66" s="601" t="s">
        <v>735</v>
      </c>
      <c r="I66" s="504">
        <v>90000</v>
      </c>
      <c r="J66" s="601" t="s">
        <v>335</v>
      </c>
      <c r="K66" s="519"/>
    </row>
    <row r="67" spans="1:11" s="494" customFormat="1" ht="187.5" customHeight="1">
      <c r="A67" s="626"/>
      <c r="B67" s="826"/>
      <c r="C67" s="812"/>
      <c r="D67" s="812"/>
      <c r="E67" s="601" t="s">
        <v>758</v>
      </c>
      <c r="F67" s="504">
        <v>30000</v>
      </c>
      <c r="G67" s="603" t="s">
        <v>887</v>
      </c>
      <c r="H67" s="601" t="s">
        <v>888</v>
      </c>
      <c r="I67" s="504">
        <v>30000</v>
      </c>
      <c r="J67" s="753" t="s">
        <v>1068</v>
      </c>
      <c r="K67" s="519"/>
    </row>
    <row r="68" spans="1:11" s="494" customFormat="1" ht="189.75" customHeight="1">
      <c r="A68" s="626"/>
      <c r="B68" s="600" t="s">
        <v>336</v>
      </c>
      <c r="C68" s="694" t="s">
        <v>99</v>
      </c>
      <c r="D68" s="504">
        <v>10000</v>
      </c>
      <c r="E68" s="601" t="s">
        <v>990</v>
      </c>
      <c r="F68" s="504">
        <v>18000</v>
      </c>
      <c r="G68" s="601" t="s">
        <v>844</v>
      </c>
      <c r="H68" s="601" t="s">
        <v>736</v>
      </c>
      <c r="I68" s="504">
        <v>18000</v>
      </c>
      <c r="J68" s="601" t="s">
        <v>737</v>
      </c>
      <c r="K68" s="519"/>
    </row>
    <row r="69" spans="1:11" s="498" customFormat="1" ht="214.5" customHeight="1">
      <c r="A69" s="631"/>
      <c r="B69" s="602" t="s">
        <v>337</v>
      </c>
      <c r="C69" s="695" t="s">
        <v>100</v>
      </c>
      <c r="D69" s="506">
        <v>5000</v>
      </c>
      <c r="E69" s="603" t="s">
        <v>991</v>
      </c>
      <c r="F69" s="506">
        <v>10000</v>
      </c>
      <c r="G69" s="603" t="s">
        <v>843</v>
      </c>
      <c r="H69" s="603" t="s">
        <v>738</v>
      </c>
      <c r="I69" s="506">
        <v>10000</v>
      </c>
      <c r="J69" s="603" t="s">
        <v>739</v>
      </c>
      <c r="K69" s="647"/>
    </row>
    <row r="70" spans="1:11" ht="14.25" customHeight="1">
      <c r="A70" s="625"/>
      <c r="B70" s="604" t="s">
        <v>338</v>
      </c>
      <c r="C70" s="696" t="s">
        <v>101</v>
      </c>
      <c r="D70" s="534">
        <v>0</v>
      </c>
      <c r="E70" s="510"/>
      <c r="F70" s="534">
        <v>0</v>
      </c>
      <c r="G70" s="510"/>
      <c r="H70" s="510"/>
      <c r="I70" s="534">
        <v>0</v>
      </c>
      <c r="J70" s="510"/>
      <c r="K70" s="528"/>
    </row>
    <row r="71" spans="1:11" ht="14.25" customHeight="1">
      <c r="A71" s="625"/>
      <c r="B71" s="604" t="s">
        <v>339</v>
      </c>
      <c r="C71" s="696" t="s">
        <v>102</v>
      </c>
      <c r="D71" s="534">
        <v>0</v>
      </c>
      <c r="E71" s="510"/>
      <c r="F71" s="534">
        <v>0</v>
      </c>
      <c r="G71" s="510"/>
      <c r="H71" s="510"/>
      <c r="I71" s="534">
        <v>0</v>
      </c>
      <c r="J71" s="510"/>
      <c r="K71" s="528"/>
    </row>
    <row r="72" spans="1:11" ht="14.25" customHeight="1">
      <c r="A72" s="625"/>
      <c r="B72" s="604" t="s">
        <v>340</v>
      </c>
      <c r="C72" s="696" t="s">
        <v>103</v>
      </c>
      <c r="D72" s="534">
        <v>0</v>
      </c>
      <c r="E72" s="510"/>
      <c r="F72" s="534">
        <v>0</v>
      </c>
      <c r="G72" s="510"/>
      <c r="H72" s="510"/>
      <c r="I72" s="534">
        <v>0</v>
      </c>
      <c r="J72" s="510"/>
      <c r="K72" s="528"/>
    </row>
    <row r="73" spans="1:11" s="496" customFormat="1" ht="157.5" customHeight="1">
      <c r="A73" s="627"/>
      <c r="B73" s="600" t="s">
        <v>341</v>
      </c>
      <c r="C73" s="694" t="s">
        <v>104</v>
      </c>
      <c r="D73" s="504">
        <v>25000</v>
      </c>
      <c r="E73" s="601" t="s">
        <v>840</v>
      </c>
      <c r="F73" s="504">
        <v>25000</v>
      </c>
      <c r="G73" s="601" t="s">
        <v>841</v>
      </c>
      <c r="H73" s="601" t="s">
        <v>839</v>
      </c>
      <c r="I73" s="504">
        <v>25000</v>
      </c>
      <c r="J73" s="755" t="s">
        <v>1067</v>
      </c>
      <c r="K73" s="636"/>
    </row>
    <row r="74" spans="1:11" s="496" customFormat="1" ht="270.75" customHeight="1">
      <c r="A74" s="627"/>
      <c r="B74" s="600" t="s">
        <v>342</v>
      </c>
      <c r="C74" s="692" t="s">
        <v>105</v>
      </c>
      <c r="D74" s="504">
        <v>2500</v>
      </c>
      <c r="E74" s="603" t="s">
        <v>837</v>
      </c>
      <c r="F74" s="504">
        <v>2160</v>
      </c>
      <c r="G74" s="601" t="s">
        <v>728</v>
      </c>
      <c r="H74" s="601" t="s">
        <v>730</v>
      </c>
      <c r="I74" s="504">
        <f>2160</f>
        <v>2160</v>
      </c>
      <c r="J74" s="601" t="s">
        <v>729</v>
      </c>
      <c r="K74" s="636"/>
    </row>
    <row r="75" spans="1:11" ht="38.25" customHeight="1">
      <c r="A75" s="625"/>
      <c r="B75" s="604" t="s">
        <v>343</v>
      </c>
      <c r="C75" s="696" t="s">
        <v>106</v>
      </c>
      <c r="D75" s="534">
        <v>0</v>
      </c>
      <c r="E75" s="510"/>
      <c r="F75" s="534">
        <v>0</v>
      </c>
      <c r="G75" s="510"/>
      <c r="H75" s="510"/>
      <c r="I75" s="685">
        <v>0</v>
      </c>
      <c r="J75" s="510"/>
      <c r="K75" s="528"/>
    </row>
    <row r="76" spans="1:11" s="494" customFormat="1" ht="339" customHeight="1">
      <c r="A76" s="626"/>
      <c r="B76" s="600" t="s">
        <v>344</v>
      </c>
      <c r="C76" s="694" t="s">
        <v>108</v>
      </c>
      <c r="D76" s="504">
        <v>48000</v>
      </c>
      <c r="E76" s="601" t="s">
        <v>597</v>
      </c>
      <c r="F76" s="504">
        <v>32000</v>
      </c>
      <c r="G76" s="603" t="s">
        <v>845</v>
      </c>
      <c r="H76" s="603" t="s">
        <v>818</v>
      </c>
      <c r="I76" s="504">
        <f>32000</f>
        <v>32000</v>
      </c>
      <c r="J76" s="601" t="s">
        <v>817</v>
      </c>
      <c r="K76" s="519"/>
    </row>
    <row r="77" spans="1:11" ht="14.25" customHeight="1">
      <c r="A77" s="625"/>
      <c r="B77" s="604" t="s">
        <v>345</v>
      </c>
      <c r="C77" s="689" t="s">
        <v>109</v>
      </c>
      <c r="D77" s="670">
        <v>0</v>
      </c>
      <c r="E77" s="510"/>
      <c r="F77" s="534"/>
      <c r="G77" s="510"/>
      <c r="H77" s="510"/>
      <c r="I77" s="534"/>
      <c r="J77" s="510"/>
      <c r="K77" s="528"/>
    </row>
    <row r="78" spans="1:11" ht="14.25" customHeight="1">
      <c r="A78" s="625"/>
      <c r="B78" s="676" t="s">
        <v>346</v>
      </c>
      <c r="C78" s="679" t="s">
        <v>110</v>
      </c>
      <c r="D78" s="657">
        <f>D79+D80+D81</f>
        <v>28000</v>
      </c>
      <c r="E78" s="658"/>
      <c r="F78" s="662">
        <v>0</v>
      </c>
      <c r="G78" s="658"/>
      <c r="H78" s="658"/>
      <c r="I78" s="662">
        <v>0</v>
      </c>
      <c r="J78" s="658"/>
      <c r="K78" s="528"/>
    </row>
    <row r="79" spans="1:11" ht="14.25" customHeight="1">
      <c r="A79" s="625"/>
      <c r="B79" s="604" t="s">
        <v>347</v>
      </c>
      <c r="C79" s="689" t="s">
        <v>111</v>
      </c>
      <c r="D79" s="670">
        <v>10000</v>
      </c>
      <c r="E79" s="510"/>
      <c r="F79" s="534">
        <v>0</v>
      </c>
      <c r="G79" s="510"/>
      <c r="H79" s="510"/>
      <c r="I79" s="534">
        <v>0</v>
      </c>
      <c r="J79" s="510"/>
      <c r="K79" s="528"/>
    </row>
    <row r="80" spans="1:11" ht="14.25" customHeight="1">
      <c r="A80" s="625"/>
      <c r="B80" s="604" t="s">
        <v>348</v>
      </c>
      <c r="C80" s="689" t="s">
        <v>112</v>
      </c>
      <c r="D80" s="670">
        <v>10000</v>
      </c>
      <c r="E80" s="510"/>
      <c r="F80" s="534"/>
      <c r="G80" s="510"/>
      <c r="H80" s="510"/>
      <c r="I80" s="534">
        <v>0</v>
      </c>
      <c r="J80" s="510"/>
      <c r="K80" s="528"/>
    </row>
    <row r="81" spans="1:11" ht="14.25" customHeight="1">
      <c r="A81" s="625"/>
      <c r="B81" s="604" t="s">
        <v>349</v>
      </c>
      <c r="C81" s="689" t="s">
        <v>350</v>
      </c>
      <c r="D81" s="670">
        <v>8000</v>
      </c>
      <c r="E81" s="510"/>
      <c r="F81" s="534">
        <v>0</v>
      </c>
      <c r="G81" s="510"/>
      <c r="H81" s="510"/>
      <c r="I81" s="534">
        <v>0</v>
      </c>
      <c r="J81" s="510"/>
      <c r="K81" s="528"/>
    </row>
    <row r="82" spans="1:11" ht="14.25" customHeight="1">
      <c r="A82" s="625"/>
      <c r="B82" s="676" t="s">
        <v>351</v>
      </c>
      <c r="C82" s="679" t="s">
        <v>113</v>
      </c>
      <c r="D82" s="659">
        <v>0</v>
      </c>
      <c r="E82" s="658"/>
      <c r="F82" s="662">
        <v>0</v>
      </c>
      <c r="G82" s="658"/>
      <c r="H82" s="658"/>
      <c r="I82" s="662">
        <v>0</v>
      </c>
      <c r="J82" s="658"/>
      <c r="K82" s="528"/>
    </row>
    <row r="83" spans="1:11" ht="14.25" customHeight="1">
      <c r="A83" s="625"/>
      <c r="B83" s="604" t="s">
        <v>352</v>
      </c>
      <c r="C83" s="605" t="s">
        <v>114</v>
      </c>
      <c r="D83" s="670">
        <v>0</v>
      </c>
      <c r="E83" s="510"/>
      <c r="F83" s="534">
        <v>0</v>
      </c>
      <c r="G83" s="510"/>
      <c r="H83" s="510"/>
      <c r="I83" s="534">
        <v>0</v>
      </c>
      <c r="J83" s="510"/>
      <c r="K83" s="528"/>
    </row>
    <row r="84" spans="1:11" ht="14.25" customHeight="1">
      <c r="A84" s="625"/>
      <c r="B84" s="604" t="s">
        <v>353</v>
      </c>
      <c r="C84" s="605" t="s">
        <v>114</v>
      </c>
      <c r="D84" s="670">
        <v>0</v>
      </c>
      <c r="E84" s="510"/>
      <c r="F84" s="534">
        <v>0</v>
      </c>
      <c r="G84" s="510"/>
      <c r="H84" s="510"/>
      <c r="I84" s="534">
        <v>0</v>
      </c>
      <c r="J84" s="510"/>
      <c r="K84" s="528"/>
    </row>
    <row r="85" spans="1:11" ht="14.25" customHeight="1">
      <c r="A85" s="625"/>
      <c r="B85" s="604" t="s">
        <v>354</v>
      </c>
      <c r="C85" s="605" t="s">
        <v>114</v>
      </c>
      <c r="D85" s="670">
        <v>0</v>
      </c>
      <c r="E85" s="510"/>
      <c r="F85" s="534">
        <v>0</v>
      </c>
      <c r="G85" s="510"/>
      <c r="H85" s="510"/>
      <c r="I85" s="534"/>
      <c r="J85" s="510"/>
      <c r="K85" s="528"/>
    </row>
    <row r="86" spans="1:11" ht="14.25" customHeight="1">
      <c r="A86" s="625"/>
      <c r="B86" s="676" t="s">
        <v>355</v>
      </c>
      <c r="C86" s="679" t="s">
        <v>115</v>
      </c>
      <c r="D86" s="657">
        <f>D87+D88+D89</f>
        <v>36000</v>
      </c>
      <c r="E86" s="658"/>
      <c r="F86" s="662">
        <v>36000</v>
      </c>
      <c r="G86" s="658"/>
      <c r="H86" s="658"/>
      <c r="I86" s="662">
        <v>36000</v>
      </c>
      <c r="J86" s="658"/>
      <c r="K86" s="528"/>
    </row>
    <row r="87" spans="1:11" s="494" customFormat="1" ht="364.5" customHeight="1">
      <c r="A87" s="626"/>
      <c r="B87" s="600" t="s">
        <v>356</v>
      </c>
      <c r="C87" s="601" t="s">
        <v>116</v>
      </c>
      <c r="D87" s="664">
        <v>36000</v>
      </c>
      <c r="E87" s="601" t="s">
        <v>598</v>
      </c>
      <c r="F87" s="504">
        <v>36000</v>
      </c>
      <c r="G87" s="601" t="s">
        <v>847</v>
      </c>
      <c r="H87" s="601" t="s">
        <v>846</v>
      </c>
      <c r="I87" s="504">
        <f>18000+9000+9000</f>
        <v>36000</v>
      </c>
      <c r="J87" s="601" t="s">
        <v>599</v>
      </c>
      <c r="K87" s="519"/>
    </row>
    <row r="88" spans="1:11" ht="14.25" customHeight="1">
      <c r="A88" s="625"/>
      <c r="B88" s="604" t="s">
        <v>357</v>
      </c>
      <c r="C88" s="605" t="s">
        <v>114</v>
      </c>
      <c r="D88" s="670">
        <v>0</v>
      </c>
      <c r="E88" s="510"/>
      <c r="F88" s="670">
        <v>0</v>
      </c>
      <c r="G88" s="510"/>
      <c r="H88" s="510"/>
      <c r="I88" s="670">
        <v>0</v>
      </c>
      <c r="J88" s="510"/>
      <c r="K88" s="528"/>
    </row>
    <row r="89" spans="1:11" ht="14.25" customHeight="1">
      <c r="A89" s="625"/>
      <c r="B89" s="604" t="s">
        <v>358</v>
      </c>
      <c r="C89" s="605" t="s">
        <v>114</v>
      </c>
      <c r="D89" s="670">
        <v>0</v>
      </c>
      <c r="E89" s="510"/>
      <c r="F89" s="670">
        <v>0</v>
      </c>
      <c r="G89" s="510"/>
      <c r="H89" s="510"/>
      <c r="I89" s="670">
        <v>0</v>
      </c>
      <c r="J89" s="510"/>
      <c r="K89" s="528"/>
    </row>
    <row r="90" spans="1:11" ht="14.25" customHeight="1">
      <c r="A90" s="625"/>
      <c r="B90" s="676" t="s">
        <v>359</v>
      </c>
      <c r="C90" s="677" t="s">
        <v>118</v>
      </c>
      <c r="D90" s="659">
        <v>0</v>
      </c>
      <c r="E90" s="658"/>
      <c r="F90" s="659">
        <v>0</v>
      </c>
      <c r="G90" s="658"/>
      <c r="H90" s="658"/>
      <c r="I90" s="659">
        <v>0</v>
      </c>
      <c r="J90" s="658"/>
      <c r="K90" s="528"/>
    </row>
    <row r="91" spans="1:11" ht="14.25" customHeight="1">
      <c r="A91" s="625"/>
      <c r="B91" s="604" t="s">
        <v>360</v>
      </c>
      <c r="C91" s="678" t="s">
        <v>119</v>
      </c>
      <c r="D91" s="670">
        <v>0</v>
      </c>
      <c r="E91" s="510"/>
      <c r="F91" s="670">
        <v>0</v>
      </c>
      <c r="G91" s="510"/>
      <c r="H91" s="510"/>
      <c r="I91" s="670">
        <v>0</v>
      </c>
      <c r="J91" s="510"/>
      <c r="K91" s="528"/>
    </row>
    <row r="92" spans="1:11" ht="14.25" customHeight="1">
      <c r="A92" s="625"/>
      <c r="B92" s="604" t="s">
        <v>361</v>
      </c>
      <c r="C92" s="678" t="s">
        <v>119</v>
      </c>
      <c r="D92" s="670">
        <v>0</v>
      </c>
      <c r="E92" s="510"/>
      <c r="F92" s="670">
        <v>0</v>
      </c>
      <c r="G92" s="510"/>
      <c r="H92" s="510"/>
      <c r="I92" s="670">
        <v>0</v>
      </c>
      <c r="J92" s="510"/>
      <c r="K92" s="528"/>
    </row>
    <row r="93" spans="1:11" ht="14.25" customHeight="1">
      <c r="A93" s="625"/>
      <c r="B93" s="604" t="s">
        <v>362</v>
      </c>
      <c r="C93" s="678" t="s">
        <v>119</v>
      </c>
      <c r="D93" s="670">
        <v>0</v>
      </c>
      <c r="E93" s="510"/>
      <c r="F93" s="670">
        <v>0</v>
      </c>
      <c r="G93" s="510"/>
      <c r="H93" s="510"/>
      <c r="I93" s="670">
        <v>0</v>
      </c>
      <c r="J93" s="510"/>
      <c r="K93" s="528"/>
    </row>
    <row r="94" spans="1:11" ht="14.25" customHeight="1">
      <c r="A94" s="625"/>
      <c r="B94" s="676" t="s">
        <v>363</v>
      </c>
      <c r="C94" s="677" t="s">
        <v>121</v>
      </c>
      <c r="D94" s="659">
        <v>0</v>
      </c>
      <c r="E94" s="658"/>
      <c r="F94" s="659">
        <v>0</v>
      </c>
      <c r="G94" s="658"/>
      <c r="H94" s="658"/>
      <c r="I94" s="659">
        <v>0</v>
      </c>
      <c r="J94" s="658"/>
      <c r="K94" s="528"/>
    </row>
    <row r="95" spans="1:11" ht="14.25" customHeight="1">
      <c r="A95" s="625"/>
      <c r="B95" s="604" t="s">
        <v>364</v>
      </c>
      <c r="C95" s="678" t="s">
        <v>122</v>
      </c>
      <c r="D95" s="670">
        <v>0</v>
      </c>
      <c r="E95" s="510"/>
      <c r="F95" s="670">
        <v>0</v>
      </c>
      <c r="G95" s="510"/>
      <c r="H95" s="510"/>
      <c r="I95" s="670">
        <v>0</v>
      </c>
      <c r="J95" s="510"/>
      <c r="K95" s="528"/>
    </row>
    <row r="96" spans="1:11" ht="14.25" customHeight="1">
      <c r="A96" s="625"/>
      <c r="B96" s="604" t="s">
        <v>365</v>
      </c>
      <c r="C96" s="605" t="s">
        <v>122</v>
      </c>
      <c r="D96" s="670">
        <v>0</v>
      </c>
      <c r="E96" s="510"/>
      <c r="F96" s="670">
        <v>0</v>
      </c>
      <c r="G96" s="510"/>
      <c r="H96" s="510"/>
      <c r="I96" s="670">
        <v>0</v>
      </c>
      <c r="J96" s="510"/>
      <c r="K96" s="528"/>
    </row>
    <row r="97" spans="1:11" ht="14.25" customHeight="1">
      <c r="A97" s="625"/>
      <c r="B97" s="604" t="s">
        <v>366</v>
      </c>
      <c r="C97" s="605" t="s">
        <v>122</v>
      </c>
      <c r="D97" s="670">
        <v>0</v>
      </c>
      <c r="E97" s="510"/>
      <c r="F97" s="670">
        <v>0</v>
      </c>
      <c r="G97" s="510"/>
      <c r="H97" s="510"/>
      <c r="I97" s="670">
        <v>0</v>
      </c>
      <c r="J97" s="510"/>
      <c r="K97" s="528"/>
    </row>
    <row r="98" spans="1:11" ht="14.25" customHeight="1">
      <c r="A98" s="625"/>
      <c r="B98" s="676" t="s">
        <v>367</v>
      </c>
      <c r="C98" s="677" t="s">
        <v>123</v>
      </c>
      <c r="D98" s="659">
        <v>0</v>
      </c>
      <c r="E98" s="658"/>
      <c r="F98" s="659">
        <v>0</v>
      </c>
      <c r="G98" s="658"/>
      <c r="H98" s="658"/>
      <c r="I98" s="659">
        <v>0</v>
      </c>
      <c r="J98" s="658"/>
      <c r="K98" s="528"/>
    </row>
    <row r="99" spans="1:11" ht="14.25" customHeight="1">
      <c r="A99" s="625"/>
      <c r="B99" s="604" t="s">
        <v>368</v>
      </c>
      <c r="C99" s="605" t="s">
        <v>75</v>
      </c>
      <c r="D99" s="670">
        <v>0</v>
      </c>
      <c r="E99" s="510"/>
      <c r="F99" s="670">
        <v>0</v>
      </c>
      <c r="G99" s="510"/>
      <c r="H99" s="510"/>
      <c r="I99" s="670">
        <v>0</v>
      </c>
      <c r="J99" s="510"/>
      <c r="K99" s="528"/>
    </row>
    <row r="100" spans="1:11" ht="14.25" customHeight="1">
      <c r="A100" s="625"/>
      <c r="B100" s="604" t="s">
        <v>369</v>
      </c>
      <c r="C100" s="605" t="s">
        <v>75</v>
      </c>
      <c r="D100" s="670">
        <v>0</v>
      </c>
      <c r="E100" s="510"/>
      <c r="F100" s="670">
        <v>0</v>
      </c>
      <c r="G100" s="510"/>
      <c r="H100" s="510"/>
      <c r="I100" s="670">
        <v>0</v>
      </c>
      <c r="J100" s="510"/>
      <c r="K100" s="528"/>
    </row>
    <row r="101" spans="1:11" ht="14.25" customHeight="1">
      <c r="A101" s="625"/>
      <c r="B101" s="604" t="s">
        <v>370</v>
      </c>
      <c r="C101" s="605" t="s">
        <v>75</v>
      </c>
      <c r="D101" s="670">
        <v>0</v>
      </c>
      <c r="E101" s="510"/>
      <c r="F101" s="670">
        <v>0</v>
      </c>
      <c r="G101" s="510"/>
      <c r="H101" s="510"/>
      <c r="I101" s="670">
        <v>0</v>
      </c>
      <c r="J101" s="510"/>
      <c r="K101" s="528"/>
    </row>
    <row r="102" spans="1:11" ht="14.25" customHeight="1">
      <c r="A102" s="625"/>
      <c r="B102" s="676" t="s">
        <v>371</v>
      </c>
      <c r="C102" s="697" t="s">
        <v>126</v>
      </c>
      <c r="D102" s="659">
        <v>0</v>
      </c>
      <c r="E102" s="658"/>
      <c r="F102" s="659">
        <v>0</v>
      </c>
      <c r="G102" s="658"/>
      <c r="H102" s="658"/>
      <c r="I102" s="659">
        <v>0</v>
      </c>
      <c r="J102" s="658"/>
      <c r="K102" s="528"/>
    </row>
    <row r="103" spans="1:11" ht="14.25" customHeight="1">
      <c r="A103" s="625"/>
      <c r="B103" s="604" t="s">
        <v>372</v>
      </c>
      <c r="C103" s="605" t="s">
        <v>127</v>
      </c>
      <c r="D103" s="670">
        <v>0</v>
      </c>
      <c r="E103" s="510"/>
      <c r="F103" s="670">
        <v>0</v>
      </c>
      <c r="G103" s="510"/>
      <c r="H103" s="510"/>
      <c r="I103" s="670">
        <v>0</v>
      </c>
      <c r="J103" s="510"/>
      <c r="K103" s="528"/>
    </row>
    <row r="104" spans="1:11" ht="14.25" customHeight="1">
      <c r="A104" s="625"/>
      <c r="B104" s="604" t="s">
        <v>373</v>
      </c>
      <c r="C104" s="605" t="s">
        <v>127</v>
      </c>
      <c r="D104" s="670">
        <v>0</v>
      </c>
      <c r="E104" s="510"/>
      <c r="F104" s="670">
        <v>0</v>
      </c>
      <c r="G104" s="510"/>
      <c r="H104" s="510"/>
      <c r="I104" s="670">
        <v>0</v>
      </c>
      <c r="J104" s="510"/>
      <c r="K104" s="528"/>
    </row>
    <row r="105" spans="1:11" ht="14.25" customHeight="1">
      <c r="A105" s="625"/>
      <c r="B105" s="604" t="s">
        <v>374</v>
      </c>
      <c r="C105" s="605" t="s">
        <v>127</v>
      </c>
      <c r="D105" s="670">
        <v>0</v>
      </c>
      <c r="E105" s="510"/>
      <c r="F105" s="670">
        <v>0</v>
      </c>
      <c r="G105" s="510"/>
      <c r="H105" s="510"/>
      <c r="I105" s="670">
        <v>0</v>
      </c>
      <c r="J105" s="510"/>
      <c r="K105" s="528"/>
    </row>
    <row r="106" spans="1:11" ht="14.25" customHeight="1">
      <c r="A106" s="625"/>
      <c r="B106" s="676" t="s">
        <v>375</v>
      </c>
      <c r="C106" s="697" t="s">
        <v>128</v>
      </c>
      <c r="D106" s="659">
        <v>0</v>
      </c>
      <c r="E106" s="658"/>
      <c r="F106" s="659">
        <v>0</v>
      </c>
      <c r="G106" s="658"/>
      <c r="H106" s="658"/>
      <c r="I106" s="659">
        <v>0</v>
      </c>
      <c r="J106" s="658"/>
      <c r="K106" s="528"/>
    </row>
    <row r="107" spans="1:11" ht="14.25" customHeight="1">
      <c r="A107" s="625"/>
      <c r="B107" s="604" t="s">
        <v>376</v>
      </c>
      <c r="C107" s="605"/>
      <c r="D107" s="670">
        <v>0</v>
      </c>
      <c r="E107" s="510"/>
      <c r="F107" s="670">
        <v>0</v>
      </c>
      <c r="G107" s="510"/>
      <c r="H107" s="510"/>
      <c r="I107" s="670">
        <v>0</v>
      </c>
      <c r="J107" s="510"/>
      <c r="K107" s="528"/>
    </row>
    <row r="108" spans="1:11" ht="14.25" customHeight="1">
      <c r="A108" s="625"/>
      <c r="B108" s="676" t="s">
        <v>377</v>
      </c>
      <c r="C108" s="697" t="s">
        <v>129</v>
      </c>
      <c r="D108" s="659">
        <v>0</v>
      </c>
      <c r="E108" s="658"/>
      <c r="F108" s="659">
        <v>0</v>
      </c>
      <c r="G108" s="658"/>
      <c r="H108" s="658"/>
      <c r="I108" s="659">
        <v>0</v>
      </c>
      <c r="J108" s="658"/>
      <c r="K108" s="528"/>
    </row>
    <row r="109" spans="1:11" ht="14.25" customHeight="1">
      <c r="A109" s="625"/>
      <c r="B109" s="604" t="s">
        <v>378</v>
      </c>
      <c r="C109" s="605"/>
      <c r="D109" s="670">
        <v>0</v>
      </c>
      <c r="E109" s="510"/>
      <c r="F109" s="670">
        <v>0</v>
      </c>
      <c r="G109" s="510"/>
      <c r="H109" s="510"/>
      <c r="I109" s="670">
        <v>0</v>
      </c>
      <c r="J109" s="510"/>
      <c r="K109" s="528"/>
    </row>
    <row r="110" spans="1:11" ht="14.25" customHeight="1">
      <c r="A110" s="625"/>
      <c r="B110" s="604" t="s">
        <v>379</v>
      </c>
      <c r="C110" s="605"/>
      <c r="D110" s="670">
        <v>0</v>
      </c>
      <c r="E110" s="510"/>
      <c r="F110" s="670">
        <v>0</v>
      </c>
      <c r="G110" s="510"/>
      <c r="H110" s="510"/>
      <c r="I110" s="670">
        <v>0</v>
      </c>
      <c r="J110" s="510"/>
      <c r="K110" s="528"/>
    </row>
    <row r="111" spans="1:11" s="494" customFormat="1" ht="51" customHeight="1">
      <c r="A111" s="620"/>
      <c r="B111" s="607">
        <v>7</v>
      </c>
      <c r="C111" s="608" t="s">
        <v>131</v>
      </c>
      <c r="D111" s="609">
        <f>D112+D113+D114+D118+D119+D120+D121+D122+D123+D124+D125+D126+D127+D128+D129+D132+D135+D138+D139+D140+D141</f>
        <v>142280</v>
      </c>
      <c r="E111" s="609"/>
      <c r="F111" s="609">
        <f t="shared" ref="F111:I111" si="5">F112+F113+F114+F118+F119+F120+F121+F122+F123+F124+F125+F126+F127+F128+F129+F132+F135+F138+F139+F140+F141</f>
        <v>142348</v>
      </c>
      <c r="G111" s="609"/>
      <c r="H111" s="609"/>
      <c r="I111" s="609">
        <f t="shared" si="5"/>
        <v>142348</v>
      </c>
      <c r="J111" s="609"/>
      <c r="K111" s="519"/>
    </row>
    <row r="112" spans="1:11" s="494" customFormat="1" ht="138.75" customHeight="1">
      <c r="A112" s="519"/>
      <c r="B112" s="600" t="s">
        <v>380</v>
      </c>
      <c r="C112" s="601" t="s">
        <v>381</v>
      </c>
      <c r="D112" s="664">
        <v>180</v>
      </c>
      <c r="E112" s="504" t="s">
        <v>751</v>
      </c>
      <c r="F112" s="601">
        <v>180</v>
      </c>
      <c r="G112" s="754" t="s">
        <v>1069</v>
      </c>
      <c r="H112" s="753" t="s">
        <v>1070</v>
      </c>
      <c r="I112" s="601">
        <v>180</v>
      </c>
      <c r="J112" s="754" t="s">
        <v>1071</v>
      </c>
      <c r="K112" s="519"/>
    </row>
    <row r="113" spans="1:11" s="494" customFormat="1" ht="105" customHeight="1">
      <c r="A113" s="519"/>
      <c r="B113" s="600" t="s">
        <v>382</v>
      </c>
      <c r="C113" s="601" t="s">
        <v>383</v>
      </c>
      <c r="D113" s="664">
        <v>900</v>
      </c>
      <c r="E113" s="504" t="s">
        <v>751</v>
      </c>
      <c r="F113" s="601">
        <v>900</v>
      </c>
      <c r="G113" s="754" t="s">
        <v>1072</v>
      </c>
      <c r="H113" s="753" t="s">
        <v>1073</v>
      </c>
      <c r="I113" s="601">
        <v>900</v>
      </c>
      <c r="J113" s="754" t="s">
        <v>1074</v>
      </c>
      <c r="K113" s="519"/>
    </row>
    <row r="114" spans="1:11" s="494" customFormat="1" ht="40.5" customHeight="1">
      <c r="A114" s="519"/>
      <c r="B114" s="600" t="s">
        <v>384</v>
      </c>
      <c r="C114" s="601" t="s">
        <v>133</v>
      </c>
      <c r="D114" s="664">
        <v>39000</v>
      </c>
      <c r="E114" s="504"/>
      <c r="F114" s="601">
        <f>F115+F116+F117</f>
        <v>39000</v>
      </c>
      <c r="G114" s="601"/>
      <c r="H114" s="601"/>
      <c r="I114" s="601">
        <f t="shared" ref="I114" si="6">I115+I116+I117</f>
        <v>39000</v>
      </c>
      <c r="J114" s="504"/>
      <c r="K114" s="519"/>
    </row>
    <row r="115" spans="1:11" s="494" customFormat="1" ht="222.75" customHeight="1">
      <c r="A115" s="519"/>
      <c r="B115" s="600"/>
      <c r="C115" s="601"/>
      <c r="D115" s="664"/>
      <c r="E115" s="504" t="s">
        <v>992</v>
      </c>
      <c r="F115" s="601">
        <v>11250</v>
      </c>
      <c r="G115" s="504" t="s">
        <v>748</v>
      </c>
      <c r="H115" s="601" t="s">
        <v>993</v>
      </c>
      <c r="I115" s="601">
        <f>11250</f>
        <v>11250</v>
      </c>
      <c r="J115" s="504" t="s">
        <v>899</v>
      </c>
      <c r="K115" s="519"/>
    </row>
    <row r="116" spans="1:11" s="606" customFormat="1" ht="222.75" customHeight="1">
      <c r="A116" s="632"/>
      <c r="B116" s="698"/>
      <c r="C116" s="687"/>
      <c r="D116" s="699"/>
      <c r="E116" s="688" t="s">
        <v>900</v>
      </c>
      <c r="F116" s="687">
        <v>22125</v>
      </c>
      <c r="G116" s="688" t="s">
        <v>848</v>
      </c>
      <c r="H116" s="687" t="s">
        <v>849</v>
      </c>
      <c r="I116" s="687">
        <v>22125</v>
      </c>
      <c r="J116" s="688" t="s">
        <v>1080</v>
      </c>
      <c r="K116" s="632"/>
    </row>
    <row r="117" spans="1:11" s="606" customFormat="1" ht="222.75" customHeight="1">
      <c r="A117" s="632"/>
      <c r="B117" s="698"/>
      <c r="C117" s="687"/>
      <c r="D117" s="700"/>
      <c r="E117" s="688" t="s">
        <v>994</v>
      </c>
      <c r="F117" s="687">
        <v>5625</v>
      </c>
      <c r="G117" s="613" t="s">
        <v>850</v>
      </c>
      <c r="H117" s="687" t="s">
        <v>851</v>
      </c>
      <c r="I117" s="687">
        <v>5625</v>
      </c>
      <c r="J117" s="688" t="s">
        <v>747</v>
      </c>
      <c r="K117" s="632"/>
    </row>
    <row r="118" spans="1:11" ht="189.75" customHeight="1">
      <c r="A118" s="528"/>
      <c r="B118" s="604" t="s">
        <v>385</v>
      </c>
      <c r="C118" s="605" t="s">
        <v>134</v>
      </c>
      <c r="D118" s="664">
        <v>17500</v>
      </c>
      <c r="E118" s="506" t="s">
        <v>995</v>
      </c>
      <c r="F118" s="603">
        <v>17568</v>
      </c>
      <c r="G118" s="506" t="s">
        <v>750</v>
      </c>
      <c r="H118" s="603" t="s">
        <v>600</v>
      </c>
      <c r="I118" s="603">
        <v>17568</v>
      </c>
      <c r="J118" s="506" t="s">
        <v>601</v>
      </c>
      <c r="K118" s="528"/>
    </row>
    <row r="119" spans="1:11" s="606" customFormat="1" ht="87.75" customHeight="1">
      <c r="A119" s="632"/>
      <c r="B119" s="698" t="s">
        <v>386</v>
      </c>
      <c r="C119" s="687" t="s">
        <v>387</v>
      </c>
      <c r="D119" s="699">
        <v>14000</v>
      </c>
      <c r="E119" s="688" t="s">
        <v>751</v>
      </c>
      <c r="F119" s="687">
        <v>14000</v>
      </c>
      <c r="G119" s="688" t="s">
        <v>1076</v>
      </c>
      <c r="H119" s="687" t="s">
        <v>1073</v>
      </c>
      <c r="I119" s="687">
        <v>14000</v>
      </c>
      <c r="J119" s="688" t="s">
        <v>1075</v>
      </c>
      <c r="K119" s="632"/>
    </row>
    <row r="120" spans="1:11" s="606" customFormat="1" ht="274.5" customHeight="1">
      <c r="A120" s="632"/>
      <c r="B120" s="698" t="s">
        <v>388</v>
      </c>
      <c r="C120" s="687" t="s">
        <v>136</v>
      </c>
      <c r="D120" s="699">
        <v>6000</v>
      </c>
      <c r="E120" s="688" t="s">
        <v>389</v>
      </c>
      <c r="F120" s="687">
        <v>6000</v>
      </c>
      <c r="G120" s="688" t="s">
        <v>853</v>
      </c>
      <c r="H120" s="687" t="s">
        <v>603</v>
      </c>
      <c r="I120" s="687">
        <v>6000</v>
      </c>
      <c r="J120" s="688" t="s">
        <v>602</v>
      </c>
      <c r="K120" s="632"/>
    </row>
    <row r="121" spans="1:11" s="494" customFormat="1" ht="276" customHeight="1">
      <c r="A121" s="519"/>
      <c r="B121" s="600" t="s">
        <v>390</v>
      </c>
      <c r="C121" s="601" t="s">
        <v>391</v>
      </c>
      <c r="D121" s="664">
        <v>2500</v>
      </c>
      <c r="E121" s="504" t="s">
        <v>389</v>
      </c>
      <c r="F121" s="601">
        <v>2500</v>
      </c>
      <c r="G121" s="504" t="s">
        <v>854</v>
      </c>
      <c r="H121" s="601" t="s">
        <v>603</v>
      </c>
      <c r="I121" s="601">
        <v>2500</v>
      </c>
      <c r="J121" s="504" t="s">
        <v>602</v>
      </c>
      <c r="K121" s="519"/>
    </row>
    <row r="122" spans="1:11" s="494" customFormat="1" ht="306.75" customHeight="1">
      <c r="A122" s="519"/>
      <c r="B122" s="600" t="s">
        <v>392</v>
      </c>
      <c r="C122" s="601" t="s">
        <v>137</v>
      </c>
      <c r="D122" s="664">
        <v>4000</v>
      </c>
      <c r="E122" s="504" t="s">
        <v>389</v>
      </c>
      <c r="F122" s="601">
        <v>4000</v>
      </c>
      <c r="G122" s="504" t="s">
        <v>855</v>
      </c>
      <c r="H122" s="601" t="s">
        <v>603</v>
      </c>
      <c r="I122" s="601">
        <v>4000</v>
      </c>
      <c r="J122" s="504" t="s">
        <v>602</v>
      </c>
      <c r="K122" s="519"/>
    </row>
    <row r="123" spans="1:11" s="494" customFormat="1" ht="348.75" customHeight="1">
      <c r="A123" s="519"/>
      <c r="B123" s="600" t="s">
        <v>393</v>
      </c>
      <c r="C123" s="601" t="s">
        <v>138</v>
      </c>
      <c r="D123" s="664">
        <v>6000</v>
      </c>
      <c r="E123" s="504" t="s">
        <v>389</v>
      </c>
      <c r="F123" s="601">
        <v>6000</v>
      </c>
      <c r="G123" s="504" t="s">
        <v>856</v>
      </c>
      <c r="H123" s="601" t="s">
        <v>603</v>
      </c>
      <c r="I123" s="601">
        <v>6000</v>
      </c>
      <c r="J123" s="504" t="s">
        <v>602</v>
      </c>
      <c r="K123" s="519"/>
    </row>
    <row r="124" spans="1:11" s="494" customFormat="1" ht="324" customHeight="1">
      <c r="A124" s="519"/>
      <c r="B124" s="600" t="s">
        <v>394</v>
      </c>
      <c r="C124" s="601" t="s">
        <v>395</v>
      </c>
      <c r="D124" s="664">
        <v>6000</v>
      </c>
      <c r="E124" s="504" t="s">
        <v>389</v>
      </c>
      <c r="F124" s="601">
        <v>6000</v>
      </c>
      <c r="G124" s="504" t="s">
        <v>857</v>
      </c>
      <c r="H124" s="601" t="s">
        <v>603</v>
      </c>
      <c r="I124" s="601">
        <v>6000</v>
      </c>
      <c r="J124" s="504" t="s">
        <v>602</v>
      </c>
      <c r="K124" s="519"/>
    </row>
    <row r="125" spans="1:11" s="494" customFormat="1" ht="353.25" customHeight="1">
      <c r="A125" s="519"/>
      <c r="B125" s="600" t="s">
        <v>396</v>
      </c>
      <c r="C125" s="601" t="s">
        <v>139</v>
      </c>
      <c r="D125" s="664">
        <v>10400</v>
      </c>
      <c r="E125" s="504" t="s">
        <v>389</v>
      </c>
      <c r="F125" s="601">
        <v>10400</v>
      </c>
      <c r="G125" s="504" t="s">
        <v>858</v>
      </c>
      <c r="H125" s="601" t="s">
        <v>604</v>
      </c>
      <c r="I125" s="601">
        <v>10400</v>
      </c>
      <c r="J125" s="504" t="s">
        <v>605</v>
      </c>
      <c r="K125" s="519"/>
    </row>
    <row r="126" spans="1:11" s="494" customFormat="1" ht="349.5" customHeight="1">
      <c r="A126" s="519"/>
      <c r="B126" s="600" t="s">
        <v>397</v>
      </c>
      <c r="C126" s="601" t="s">
        <v>398</v>
      </c>
      <c r="D126" s="664">
        <v>12000</v>
      </c>
      <c r="E126" s="504" t="s">
        <v>389</v>
      </c>
      <c r="F126" s="601">
        <v>12000</v>
      </c>
      <c r="G126" s="504" t="s">
        <v>859</v>
      </c>
      <c r="H126" s="601" t="s">
        <v>606</v>
      </c>
      <c r="I126" s="601">
        <v>12000</v>
      </c>
      <c r="J126" s="504" t="s">
        <v>605</v>
      </c>
      <c r="K126" s="519"/>
    </row>
    <row r="127" spans="1:11" s="494" customFormat="1" ht="259.5" customHeight="1">
      <c r="A127" s="519"/>
      <c r="B127" s="600" t="s">
        <v>141</v>
      </c>
      <c r="C127" s="601" t="s">
        <v>399</v>
      </c>
      <c r="D127" s="664">
        <v>4000</v>
      </c>
      <c r="E127" s="504" t="s">
        <v>389</v>
      </c>
      <c r="F127" s="601">
        <v>4000</v>
      </c>
      <c r="G127" s="504" t="s">
        <v>860</v>
      </c>
      <c r="H127" s="601" t="s">
        <v>852</v>
      </c>
      <c r="I127" s="601">
        <v>4000</v>
      </c>
      <c r="J127" s="504" t="s">
        <v>605</v>
      </c>
      <c r="K127" s="519"/>
    </row>
    <row r="128" spans="1:11" s="494" customFormat="1" ht="289.5" customHeight="1">
      <c r="A128" s="519"/>
      <c r="B128" s="600" t="s">
        <v>143</v>
      </c>
      <c r="C128" s="601" t="s">
        <v>144</v>
      </c>
      <c r="D128" s="664">
        <v>1200</v>
      </c>
      <c r="E128" s="504" t="s">
        <v>389</v>
      </c>
      <c r="F128" s="601">
        <v>1200</v>
      </c>
      <c r="G128" s="504" t="s">
        <v>861</v>
      </c>
      <c r="H128" s="601" t="s">
        <v>604</v>
      </c>
      <c r="I128" s="601">
        <v>1200</v>
      </c>
      <c r="J128" s="504" t="s">
        <v>605</v>
      </c>
      <c r="K128" s="519"/>
    </row>
    <row r="129" spans="1:11" s="494" customFormat="1" ht="48" customHeight="1">
      <c r="A129" s="519"/>
      <c r="B129" s="821" t="s">
        <v>145</v>
      </c>
      <c r="C129" s="812" t="s">
        <v>146</v>
      </c>
      <c r="D129" s="823">
        <v>10000</v>
      </c>
      <c r="E129" s="514"/>
      <c r="F129" s="514">
        <f>F130+F131</f>
        <v>10000</v>
      </c>
      <c r="G129" s="601"/>
      <c r="H129" s="601"/>
      <c r="I129" s="514">
        <f>I130+I131</f>
        <v>10000</v>
      </c>
      <c r="J129" s="514"/>
      <c r="K129" s="519"/>
    </row>
    <row r="130" spans="1:11" s="606" customFormat="1" ht="118.5" customHeight="1">
      <c r="A130" s="632"/>
      <c r="B130" s="822"/>
      <c r="C130" s="812"/>
      <c r="D130" s="824"/>
      <c r="E130" s="701" t="s">
        <v>400</v>
      </c>
      <c r="F130" s="702">
        <v>8000</v>
      </c>
      <c r="G130" s="701" t="s">
        <v>608</v>
      </c>
      <c r="H130" s="702" t="s">
        <v>607</v>
      </c>
      <c r="I130" s="702">
        <f>8000</f>
        <v>8000</v>
      </c>
      <c r="J130" s="701" t="s">
        <v>401</v>
      </c>
      <c r="K130" s="632"/>
    </row>
    <row r="131" spans="1:11" s="606" customFormat="1" ht="118.5" customHeight="1">
      <c r="A131" s="632"/>
      <c r="B131" s="822"/>
      <c r="C131" s="812"/>
      <c r="D131" s="824"/>
      <c r="E131" s="701" t="s">
        <v>751</v>
      </c>
      <c r="F131" s="702">
        <v>2000</v>
      </c>
      <c r="G131" s="701" t="s">
        <v>1076</v>
      </c>
      <c r="H131" s="702" t="s">
        <v>1073</v>
      </c>
      <c r="I131" s="702">
        <v>2000</v>
      </c>
      <c r="J131" s="701" t="s">
        <v>1077</v>
      </c>
      <c r="K131" s="632"/>
    </row>
    <row r="132" spans="1:11" s="494" customFormat="1" ht="34.5" customHeight="1">
      <c r="A132" s="519"/>
      <c r="B132" s="825" t="s">
        <v>147</v>
      </c>
      <c r="C132" s="812" t="s">
        <v>148</v>
      </c>
      <c r="D132" s="823">
        <v>5000</v>
      </c>
      <c r="E132" s="504"/>
      <c r="F132" s="601">
        <f>F133+F134</f>
        <v>5000</v>
      </c>
      <c r="G132" s="504"/>
      <c r="H132" s="601"/>
      <c r="I132" s="601">
        <f>I133+I134</f>
        <v>5000</v>
      </c>
      <c r="J132" s="504"/>
      <c r="K132" s="519"/>
    </row>
    <row r="133" spans="1:11" s="494" customFormat="1" ht="123" customHeight="1">
      <c r="A133" s="519"/>
      <c r="B133" s="825"/>
      <c r="C133" s="812"/>
      <c r="D133" s="824"/>
      <c r="E133" s="504" t="s">
        <v>402</v>
      </c>
      <c r="F133" s="601">
        <v>4200</v>
      </c>
      <c r="G133" s="504" t="s">
        <v>862</v>
      </c>
      <c r="H133" s="601" t="s">
        <v>824</v>
      </c>
      <c r="I133" s="601">
        <f>4200</f>
        <v>4200</v>
      </c>
      <c r="J133" s="504" t="s">
        <v>403</v>
      </c>
      <c r="K133" s="519"/>
    </row>
    <row r="134" spans="1:11" s="494" customFormat="1" ht="123" customHeight="1">
      <c r="A134" s="519"/>
      <c r="B134" s="826"/>
      <c r="C134" s="812"/>
      <c r="D134" s="824"/>
      <c r="E134" s="504" t="s">
        <v>751</v>
      </c>
      <c r="F134" s="601">
        <v>800</v>
      </c>
      <c r="G134" s="754" t="s">
        <v>1072</v>
      </c>
      <c r="H134" s="753" t="s">
        <v>1073</v>
      </c>
      <c r="I134" s="603">
        <v>800</v>
      </c>
      <c r="J134" s="506" t="s">
        <v>1078</v>
      </c>
      <c r="K134" s="519"/>
    </row>
    <row r="135" spans="1:11" s="494" customFormat="1" ht="33.75" customHeight="1">
      <c r="A135" s="519"/>
      <c r="B135" s="825" t="s">
        <v>149</v>
      </c>
      <c r="C135" s="812" t="s">
        <v>404</v>
      </c>
      <c r="D135" s="823">
        <v>3600</v>
      </c>
      <c r="E135" s="504"/>
      <c r="F135" s="601">
        <f>F136+F137</f>
        <v>3600</v>
      </c>
      <c r="G135" s="504"/>
      <c r="H135" s="601"/>
      <c r="I135" s="601">
        <f>I136+I137</f>
        <v>3600</v>
      </c>
      <c r="J135" s="504"/>
      <c r="K135" s="519"/>
    </row>
    <row r="136" spans="1:11" s="494" customFormat="1" ht="155.25" customHeight="1">
      <c r="A136" s="519"/>
      <c r="B136" s="825"/>
      <c r="C136" s="812"/>
      <c r="D136" s="823"/>
      <c r="E136" s="504" t="s">
        <v>996</v>
      </c>
      <c r="F136" s="601">
        <v>3295</v>
      </c>
      <c r="G136" s="504" t="s">
        <v>863</v>
      </c>
      <c r="H136" s="601" t="s">
        <v>752</v>
      </c>
      <c r="I136" s="601">
        <v>3295</v>
      </c>
      <c r="J136" s="504" t="s">
        <v>753</v>
      </c>
      <c r="K136" s="519"/>
    </row>
    <row r="137" spans="1:11" s="494" customFormat="1" ht="96" customHeight="1">
      <c r="A137" s="519"/>
      <c r="B137" s="826"/>
      <c r="C137" s="812"/>
      <c r="D137" s="824"/>
      <c r="E137" s="504" t="s">
        <v>751</v>
      </c>
      <c r="F137" s="601">
        <v>305</v>
      </c>
      <c r="G137" s="754" t="s">
        <v>1072</v>
      </c>
      <c r="H137" s="753" t="s">
        <v>1073</v>
      </c>
      <c r="I137" s="601">
        <v>305</v>
      </c>
      <c r="J137" s="754" t="s">
        <v>1079</v>
      </c>
      <c r="K137" s="519"/>
    </row>
    <row r="138" spans="1:11" ht="21.75" customHeight="1">
      <c r="A138" s="528"/>
      <c r="B138" s="604" t="s">
        <v>151</v>
      </c>
      <c r="C138" s="605" t="s">
        <v>152</v>
      </c>
      <c r="D138" s="670">
        <v>0</v>
      </c>
      <c r="E138" s="534" t="s">
        <v>405</v>
      </c>
      <c r="F138" s="510">
        <v>0</v>
      </c>
      <c r="G138" s="534"/>
      <c r="H138" s="510"/>
      <c r="I138" s="510">
        <v>0</v>
      </c>
      <c r="J138" s="534"/>
      <c r="K138" s="528"/>
    </row>
    <row r="139" spans="1:11" ht="14.25" customHeight="1">
      <c r="A139" s="528"/>
      <c r="B139" s="604" t="s">
        <v>153</v>
      </c>
      <c r="C139" s="605" t="s">
        <v>154</v>
      </c>
      <c r="D139" s="670">
        <v>0</v>
      </c>
      <c r="E139" s="534"/>
      <c r="F139" s="510">
        <v>0</v>
      </c>
      <c r="G139" s="534"/>
      <c r="H139" s="510"/>
      <c r="I139" s="510">
        <v>0</v>
      </c>
      <c r="J139" s="534"/>
      <c r="K139" s="528"/>
    </row>
    <row r="140" spans="1:11" ht="14.25" customHeight="1">
      <c r="A140" s="528"/>
      <c r="B140" s="604" t="s">
        <v>155</v>
      </c>
      <c r="C140" s="605" t="s">
        <v>156</v>
      </c>
      <c r="D140" s="670">
        <v>0</v>
      </c>
      <c r="E140" s="534"/>
      <c r="F140" s="510">
        <v>0</v>
      </c>
      <c r="G140" s="534"/>
      <c r="H140" s="510"/>
      <c r="I140" s="510">
        <v>0</v>
      </c>
      <c r="J140" s="534"/>
      <c r="K140" s="528"/>
    </row>
    <row r="141" spans="1:11" ht="14.25" customHeight="1">
      <c r="A141" s="528"/>
      <c r="B141" s="604" t="s">
        <v>157</v>
      </c>
      <c r="C141" s="678" t="s">
        <v>406</v>
      </c>
      <c r="D141" s="670">
        <v>0</v>
      </c>
      <c r="E141" s="534"/>
      <c r="F141" s="510">
        <v>0</v>
      </c>
      <c r="G141" s="534"/>
      <c r="H141" s="510"/>
      <c r="I141" s="510">
        <v>0</v>
      </c>
      <c r="J141" s="534"/>
      <c r="K141" s="528"/>
    </row>
    <row r="142" spans="1:11" ht="14.25" customHeight="1">
      <c r="A142" s="528"/>
      <c r="B142" s="499">
        <v>8</v>
      </c>
      <c r="C142" s="703" t="s">
        <v>159</v>
      </c>
      <c r="D142" s="658">
        <f>D143+D144+D145+D146+D147</f>
        <v>81000</v>
      </c>
      <c r="E142" s="662"/>
      <c r="F142" s="658">
        <f>F145</f>
        <v>81000</v>
      </c>
      <c r="G142" s="662"/>
      <c r="H142" s="658"/>
      <c r="I142" s="658">
        <f>I145</f>
        <v>81000</v>
      </c>
      <c r="J142" s="662"/>
      <c r="K142" s="528"/>
    </row>
    <row r="143" spans="1:11" ht="14.25" customHeight="1">
      <c r="A143" s="528"/>
      <c r="B143" s="604" t="s">
        <v>407</v>
      </c>
      <c r="C143" s="605" t="s">
        <v>160</v>
      </c>
      <c r="D143" s="510">
        <v>0</v>
      </c>
      <c r="E143" s="534"/>
      <c r="F143" s="510">
        <v>0</v>
      </c>
      <c r="G143" s="534"/>
      <c r="H143" s="510"/>
      <c r="I143" s="510">
        <v>0</v>
      </c>
      <c r="J143" s="534"/>
      <c r="K143" s="528"/>
    </row>
    <row r="144" spans="1:11" ht="14.25" customHeight="1">
      <c r="A144" s="528"/>
      <c r="B144" s="604" t="s">
        <v>408</v>
      </c>
      <c r="C144" s="605" t="s">
        <v>162</v>
      </c>
      <c r="D144" s="510">
        <v>0</v>
      </c>
      <c r="E144" s="534"/>
      <c r="F144" s="510">
        <v>0</v>
      </c>
      <c r="G144" s="534"/>
      <c r="H144" s="510"/>
      <c r="I144" s="510">
        <v>0</v>
      </c>
      <c r="J144" s="534"/>
      <c r="K144" s="528"/>
    </row>
    <row r="145" spans="1:11" s="494" customFormat="1" ht="272.25" customHeight="1">
      <c r="A145" s="519"/>
      <c r="B145" s="600" t="s">
        <v>409</v>
      </c>
      <c r="C145" s="601" t="s">
        <v>410</v>
      </c>
      <c r="D145" s="601">
        <v>81000</v>
      </c>
      <c r="E145" s="504" t="s">
        <v>997</v>
      </c>
      <c r="F145" s="601">
        <v>81000</v>
      </c>
      <c r="G145" s="504" t="s">
        <v>865</v>
      </c>
      <c r="H145" s="601" t="s">
        <v>826</v>
      </c>
      <c r="I145" s="601">
        <v>81000</v>
      </c>
      <c r="J145" s="504" t="s">
        <v>609</v>
      </c>
      <c r="K145" s="519"/>
    </row>
    <row r="146" spans="1:11" ht="14.25" customHeight="1">
      <c r="A146" s="528"/>
      <c r="B146" s="604" t="s">
        <v>411</v>
      </c>
      <c r="C146" s="605" t="s">
        <v>164</v>
      </c>
      <c r="D146" s="510">
        <v>0</v>
      </c>
      <c r="E146" s="534"/>
      <c r="F146" s="510"/>
      <c r="G146" s="534"/>
      <c r="H146" s="510"/>
      <c r="I146" s="510"/>
      <c r="J146" s="534"/>
      <c r="K146" s="528"/>
    </row>
    <row r="147" spans="1:11" ht="14.25" customHeight="1">
      <c r="A147" s="528"/>
      <c r="B147" s="604" t="s">
        <v>412</v>
      </c>
      <c r="C147" s="678" t="s">
        <v>165</v>
      </c>
      <c r="D147" s="510">
        <v>0</v>
      </c>
      <c r="E147" s="534"/>
      <c r="F147" s="510"/>
      <c r="G147" s="534"/>
      <c r="H147" s="510"/>
      <c r="I147" s="510"/>
      <c r="J147" s="534"/>
      <c r="K147" s="528"/>
    </row>
    <row r="148" spans="1:11" ht="25.5" customHeight="1">
      <c r="A148" s="528"/>
      <c r="B148" s="499">
        <v>9</v>
      </c>
      <c r="C148" s="500" t="s">
        <v>167</v>
      </c>
      <c r="D148" s="501">
        <v>280000</v>
      </c>
      <c r="E148" s="662"/>
      <c r="F148" s="662">
        <f>F149+F152+F154+F155+F159+F162+F167+F170+F173</f>
        <v>354297</v>
      </c>
      <c r="G148" s="662"/>
      <c r="H148" s="662"/>
      <c r="I148" s="662">
        <f t="shared" ref="I148" si="7">I149+I152+I154+I155+I159+I162+I167+I170+I173</f>
        <v>354297</v>
      </c>
      <c r="J148" s="662"/>
      <c r="K148" s="528"/>
    </row>
    <row r="149" spans="1:11" s="494" customFormat="1" ht="19.5" customHeight="1">
      <c r="A149" s="519"/>
      <c r="B149" s="835">
        <v>43839</v>
      </c>
      <c r="C149" s="812" t="s">
        <v>413</v>
      </c>
      <c r="D149" s="812">
        <v>30000</v>
      </c>
      <c r="E149" s="504"/>
      <c r="F149" s="601">
        <f>F150+F151</f>
        <v>30630</v>
      </c>
      <c r="G149" s="506"/>
      <c r="H149" s="601"/>
      <c r="I149" s="601">
        <f>I150+I151</f>
        <v>30630</v>
      </c>
      <c r="J149" s="504"/>
      <c r="K149" s="519"/>
    </row>
    <row r="150" spans="1:11" s="494" customFormat="1" ht="168" customHeight="1">
      <c r="A150" s="519"/>
      <c r="B150" s="826"/>
      <c r="C150" s="812"/>
      <c r="D150" s="812"/>
      <c r="E150" s="504" t="s">
        <v>998</v>
      </c>
      <c r="F150" s="601">
        <v>12630</v>
      </c>
      <c r="G150" s="506" t="s">
        <v>755</v>
      </c>
      <c r="H150" s="601" t="s">
        <v>563</v>
      </c>
      <c r="I150" s="601">
        <v>12630</v>
      </c>
      <c r="J150" s="504" t="s">
        <v>564</v>
      </c>
      <c r="K150" s="519"/>
    </row>
    <row r="151" spans="1:11" s="494" customFormat="1" ht="98.25" customHeight="1">
      <c r="A151" s="519"/>
      <c r="B151" s="826"/>
      <c r="C151" s="812"/>
      <c r="D151" s="812"/>
      <c r="E151" s="504" t="s">
        <v>999</v>
      </c>
      <c r="F151" s="601">
        <v>18000</v>
      </c>
      <c r="G151" s="506" t="s">
        <v>866</v>
      </c>
      <c r="H151" s="601" t="s">
        <v>756</v>
      </c>
      <c r="I151" s="601">
        <v>18000</v>
      </c>
      <c r="J151" s="504" t="s">
        <v>757</v>
      </c>
      <c r="K151" s="519"/>
    </row>
    <row r="152" spans="1:11" s="497" customFormat="1" ht="138" customHeight="1">
      <c r="A152" s="515"/>
      <c r="B152" s="704">
        <v>43870</v>
      </c>
      <c r="C152" s="603" t="s">
        <v>169</v>
      </c>
      <c r="D152" s="603">
        <v>14000</v>
      </c>
      <c r="E152" s="506" t="s">
        <v>1000</v>
      </c>
      <c r="F152" s="603">
        <v>20000</v>
      </c>
      <c r="G152" s="506" t="s">
        <v>867</v>
      </c>
      <c r="H152" s="603" t="s">
        <v>759</v>
      </c>
      <c r="I152" s="603">
        <v>20000</v>
      </c>
      <c r="J152" s="506" t="s">
        <v>1086</v>
      </c>
      <c r="K152" s="515"/>
    </row>
    <row r="153" spans="1:11" ht="73.5" customHeight="1">
      <c r="A153" s="528"/>
      <c r="B153" s="705">
        <v>44264</v>
      </c>
      <c r="C153" s="605" t="s">
        <v>170</v>
      </c>
      <c r="D153" s="605">
        <v>0</v>
      </c>
      <c r="E153" s="685"/>
      <c r="F153" s="605">
        <v>0</v>
      </c>
      <c r="G153" s="685"/>
      <c r="H153" s="605"/>
      <c r="I153" s="605">
        <v>0</v>
      </c>
      <c r="J153" s="685"/>
      <c r="K153" s="528"/>
    </row>
    <row r="154" spans="1:11" s="494" customFormat="1" ht="150" customHeight="1">
      <c r="A154" s="633">
        <v>44295</v>
      </c>
      <c r="B154" s="503">
        <v>44295</v>
      </c>
      <c r="C154" s="601" t="s">
        <v>414</v>
      </c>
      <c r="D154" s="601">
        <v>35000</v>
      </c>
      <c r="E154" s="504" t="s">
        <v>415</v>
      </c>
      <c r="F154" s="601">
        <v>72000</v>
      </c>
      <c r="G154" s="504" t="s">
        <v>869</v>
      </c>
      <c r="H154" s="601" t="s">
        <v>762</v>
      </c>
      <c r="I154" s="601">
        <v>72000</v>
      </c>
      <c r="J154" s="754" t="s">
        <v>1081</v>
      </c>
      <c r="K154" s="519"/>
    </row>
    <row r="155" spans="1:11" ht="36.75" customHeight="1">
      <c r="A155" s="502">
        <v>44325</v>
      </c>
      <c r="B155" s="835">
        <v>44325</v>
      </c>
      <c r="C155" s="812" t="s">
        <v>172</v>
      </c>
      <c r="D155" s="812">
        <v>7000</v>
      </c>
      <c r="E155" s="504"/>
      <c r="F155" s="601">
        <f>F156+F157</f>
        <v>32300</v>
      </c>
      <c r="G155" s="504"/>
      <c r="H155" s="601"/>
      <c r="I155" s="601">
        <f>I156+I157</f>
        <v>32300</v>
      </c>
      <c r="J155" s="504"/>
      <c r="K155" s="528"/>
    </row>
    <row r="156" spans="1:11" s="606" customFormat="1" ht="183.75" customHeight="1">
      <c r="A156" s="634"/>
      <c r="B156" s="826"/>
      <c r="C156" s="812"/>
      <c r="D156" s="812"/>
      <c r="E156" s="688" t="s">
        <v>764</v>
      </c>
      <c r="F156" s="687">
        <v>10800</v>
      </c>
      <c r="G156" s="688" t="s">
        <v>870</v>
      </c>
      <c r="H156" s="687" t="s">
        <v>763</v>
      </c>
      <c r="I156" s="687">
        <v>10800</v>
      </c>
      <c r="J156" s="688" t="s">
        <v>416</v>
      </c>
      <c r="K156" s="632"/>
    </row>
    <row r="157" spans="1:11" s="610" customFormat="1" ht="183.75" customHeight="1">
      <c r="A157" s="635"/>
      <c r="B157" s="826"/>
      <c r="C157" s="812"/>
      <c r="D157" s="812"/>
      <c r="E157" s="688" t="s">
        <v>417</v>
      </c>
      <c r="F157" s="687">
        <v>21500</v>
      </c>
      <c r="G157" s="688" t="s">
        <v>565</v>
      </c>
      <c r="H157" s="687" t="s">
        <v>766</v>
      </c>
      <c r="I157" s="687">
        <f>3000+18500</f>
        <v>21500</v>
      </c>
      <c r="J157" s="688" t="s">
        <v>765</v>
      </c>
      <c r="K157" s="639"/>
    </row>
    <row r="158" spans="1:11" ht="33.75" customHeight="1">
      <c r="A158" s="502">
        <v>44356</v>
      </c>
      <c r="B158" s="705">
        <v>44356</v>
      </c>
      <c r="C158" s="605" t="s">
        <v>173</v>
      </c>
      <c r="D158" s="510">
        <v>0</v>
      </c>
      <c r="E158" s="534"/>
      <c r="F158" s="510">
        <v>0</v>
      </c>
      <c r="G158" s="534"/>
      <c r="H158" s="510"/>
      <c r="I158" s="510">
        <v>0</v>
      </c>
      <c r="J158" s="534"/>
      <c r="K158" s="528"/>
    </row>
    <row r="159" spans="1:11" ht="41.25" customHeight="1">
      <c r="A159" s="502">
        <v>44386</v>
      </c>
      <c r="B159" s="839">
        <v>44386</v>
      </c>
      <c r="C159" s="817" t="s">
        <v>174</v>
      </c>
      <c r="D159" s="817">
        <v>50000</v>
      </c>
      <c r="E159" s="611"/>
      <c r="F159" s="514">
        <f>F160+F161</f>
        <v>50002</v>
      </c>
      <c r="G159" s="514"/>
      <c r="H159" s="514"/>
      <c r="I159" s="514">
        <f t="shared" ref="I159" si="8">I160+I161</f>
        <v>50002</v>
      </c>
      <c r="J159" s="611"/>
      <c r="K159" s="528"/>
    </row>
    <row r="160" spans="1:11" s="606" customFormat="1" ht="222.75" customHeight="1">
      <c r="A160" s="634"/>
      <c r="B160" s="840"/>
      <c r="C160" s="817"/>
      <c r="D160" s="817"/>
      <c r="E160" s="613" t="s">
        <v>767</v>
      </c>
      <c r="F160" s="614">
        <f>19440+23650</f>
        <v>43090</v>
      </c>
      <c r="G160" s="613" t="s">
        <v>871</v>
      </c>
      <c r="H160" s="614" t="s">
        <v>771</v>
      </c>
      <c r="I160" s="614">
        <v>43090</v>
      </c>
      <c r="J160" s="613" t="s">
        <v>1082</v>
      </c>
      <c r="K160" s="632"/>
    </row>
    <row r="161" spans="1:11" s="606" customFormat="1" ht="95.25" customHeight="1">
      <c r="A161" s="634"/>
      <c r="B161" s="840"/>
      <c r="C161" s="817"/>
      <c r="D161" s="817"/>
      <c r="E161" s="613" t="s">
        <v>768</v>
      </c>
      <c r="F161" s="614">
        <v>6912</v>
      </c>
      <c r="G161" s="613" t="s">
        <v>872</v>
      </c>
      <c r="H161" s="614" t="s">
        <v>769</v>
      </c>
      <c r="I161" s="614">
        <v>6912</v>
      </c>
      <c r="J161" s="613" t="s">
        <v>770</v>
      </c>
      <c r="K161" s="632"/>
    </row>
    <row r="162" spans="1:11" ht="27.75" customHeight="1">
      <c r="A162" s="502">
        <v>44417</v>
      </c>
      <c r="B162" s="839">
        <v>44417</v>
      </c>
      <c r="C162" s="817" t="s">
        <v>418</v>
      </c>
      <c r="D162" s="817">
        <v>42000</v>
      </c>
      <c r="E162" s="611"/>
      <c r="F162" s="611">
        <f>F163+F164+F166</f>
        <v>44365</v>
      </c>
      <c r="G162" s="611"/>
      <c r="H162" s="611"/>
      <c r="I162" s="611">
        <f>I163+I164+I165+I166</f>
        <v>44365</v>
      </c>
      <c r="J162" s="611"/>
      <c r="K162" s="528"/>
    </row>
    <row r="163" spans="1:11" s="494" customFormat="1" ht="198" customHeight="1">
      <c r="A163" s="633"/>
      <c r="B163" s="841"/>
      <c r="C163" s="842"/>
      <c r="D163" s="842"/>
      <c r="E163" s="504" t="s">
        <v>775</v>
      </c>
      <c r="F163" s="601">
        <f>10000+20000</f>
        <v>30000</v>
      </c>
      <c r="G163" s="504" t="s">
        <v>873</v>
      </c>
      <c r="H163" s="601" t="s">
        <v>774</v>
      </c>
      <c r="I163" s="601">
        <v>30000</v>
      </c>
      <c r="J163" s="754" t="s">
        <v>1083</v>
      </c>
      <c r="K163" s="519"/>
    </row>
    <row r="164" spans="1:11" s="494" customFormat="1" ht="103.5" customHeight="1">
      <c r="A164" s="633"/>
      <c r="B164" s="841"/>
      <c r="C164" s="842"/>
      <c r="D164" s="842"/>
      <c r="E164" s="504" t="s">
        <v>776</v>
      </c>
      <c r="F164" s="601">
        <v>6000</v>
      </c>
      <c r="G164" s="504" t="s">
        <v>777</v>
      </c>
      <c r="H164" s="601" t="s">
        <v>778</v>
      </c>
      <c r="I164" s="601">
        <v>6000</v>
      </c>
      <c r="J164" s="504" t="s">
        <v>901</v>
      </c>
      <c r="K164" s="519"/>
    </row>
    <row r="165" spans="1:11" s="494" customFormat="1" ht="103.5" customHeight="1">
      <c r="A165" s="633"/>
      <c r="B165" s="841"/>
      <c r="C165" s="842"/>
      <c r="D165" s="842"/>
      <c r="E165" s="506" t="s">
        <v>772</v>
      </c>
      <c r="F165" s="603">
        <v>0</v>
      </c>
      <c r="G165" s="506"/>
      <c r="H165" s="603"/>
      <c r="I165" s="603">
        <v>0</v>
      </c>
      <c r="J165" s="506" t="s">
        <v>773</v>
      </c>
      <c r="K165" s="519"/>
    </row>
    <row r="166" spans="1:11" s="610" customFormat="1" ht="98.25" customHeight="1">
      <c r="A166" s="635"/>
      <c r="B166" s="841"/>
      <c r="C166" s="842"/>
      <c r="D166" s="842"/>
      <c r="E166" s="688" t="s">
        <v>779</v>
      </c>
      <c r="F166" s="687">
        <v>8365</v>
      </c>
      <c r="G166" s="688" t="s">
        <v>780</v>
      </c>
      <c r="H166" s="687" t="s">
        <v>781</v>
      </c>
      <c r="I166" s="687">
        <v>8365</v>
      </c>
      <c r="J166" s="688" t="s">
        <v>1084</v>
      </c>
      <c r="K166" s="639"/>
    </row>
    <row r="167" spans="1:11" s="494" customFormat="1" ht="198.75" customHeight="1">
      <c r="A167" s="633">
        <v>44448</v>
      </c>
      <c r="B167" s="503">
        <v>44448</v>
      </c>
      <c r="C167" s="601" t="s">
        <v>175</v>
      </c>
      <c r="D167" s="601">
        <v>58000</v>
      </c>
      <c r="E167" s="504" t="s">
        <v>875</v>
      </c>
      <c r="F167" s="601">
        <v>58000</v>
      </c>
      <c r="G167" s="504" t="s">
        <v>874</v>
      </c>
      <c r="H167" s="601" t="s">
        <v>567</v>
      </c>
      <c r="I167" s="601">
        <f>18900+10100+29000</f>
        <v>58000</v>
      </c>
      <c r="J167" s="504" t="s">
        <v>782</v>
      </c>
      <c r="K167" s="519"/>
    </row>
    <row r="168" spans="1:11" ht="48" customHeight="1">
      <c r="A168" s="502">
        <v>44478</v>
      </c>
      <c r="B168" s="705">
        <v>44478</v>
      </c>
      <c r="C168" s="605" t="s">
        <v>176</v>
      </c>
      <c r="D168" s="510">
        <v>0</v>
      </c>
      <c r="E168" s="534"/>
      <c r="F168" s="510">
        <v>0</v>
      </c>
      <c r="G168" s="534"/>
      <c r="H168" s="510"/>
      <c r="I168" s="510">
        <v>0</v>
      </c>
      <c r="J168" s="534"/>
      <c r="K168" s="528"/>
    </row>
    <row r="169" spans="1:11" ht="31.5" customHeight="1">
      <c r="A169" s="502">
        <v>44509</v>
      </c>
      <c r="B169" s="705">
        <v>44509</v>
      </c>
      <c r="C169" s="605" t="s">
        <v>177</v>
      </c>
      <c r="D169" s="510">
        <v>0</v>
      </c>
      <c r="E169" s="534"/>
      <c r="F169" s="510">
        <v>0</v>
      </c>
      <c r="G169" s="534"/>
      <c r="H169" s="510"/>
      <c r="I169" s="510">
        <v>0</v>
      </c>
      <c r="J169" s="534"/>
      <c r="K169" s="528"/>
    </row>
    <row r="170" spans="1:11" ht="27.75" customHeight="1">
      <c r="A170" s="502"/>
      <c r="B170" s="503">
        <v>44539</v>
      </c>
      <c r="C170" s="601" t="s">
        <v>178</v>
      </c>
      <c r="D170" s="601">
        <v>24000</v>
      </c>
      <c r="E170" s="504"/>
      <c r="F170" s="601">
        <f>F171+F172</f>
        <v>39000</v>
      </c>
      <c r="G170" s="601"/>
      <c r="H170" s="601"/>
      <c r="I170" s="601">
        <f>I171+I172</f>
        <v>39000</v>
      </c>
      <c r="J170" s="601"/>
      <c r="K170" s="528"/>
    </row>
    <row r="171" spans="1:11" s="496" customFormat="1" ht="220.5" customHeight="1">
      <c r="A171" s="505" t="s">
        <v>420</v>
      </c>
      <c r="B171" s="836"/>
      <c r="C171" s="817"/>
      <c r="D171" s="838"/>
      <c r="E171" s="504" t="s">
        <v>566</v>
      </c>
      <c r="F171" s="601">
        <v>12000</v>
      </c>
      <c r="G171" s="504" t="s">
        <v>897</v>
      </c>
      <c r="H171" s="601" t="s">
        <v>786</v>
      </c>
      <c r="I171" s="601">
        <f>12000</f>
        <v>12000</v>
      </c>
      <c r="J171" s="504" t="s">
        <v>421</v>
      </c>
      <c r="K171" s="636"/>
    </row>
    <row r="172" spans="1:11" s="615" customFormat="1" ht="138" customHeight="1">
      <c r="A172" s="612"/>
      <c r="B172" s="837"/>
      <c r="C172" s="817"/>
      <c r="D172" s="838"/>
      <c r="E172" s="613" t="s">
        <v>904</v>
      </c>
      <c r="F172" s="614">
        <v>27000</v>
      </c>
      <c r="G172" s="688" t="s">
        <v>905</v>
      </c>
      <c r="H172" s="687" t="s">
        <v>902</v>
      </c>
      <c r="I172" s="687">
        <v>27000</v>
      </c>
      <c r="J172" s="688" t="s">
        <v>903</v>
      </c>
      <c r="K172" s="648"/>
    </row>
    <row r="173" spans="1:11" ht="138" customHeight="1">
      <c r="A173" s="508" t="s">
        <v>179</v>
      </c>
      <c r="B173" s="706" t="s">
        <v>179</v>
      </c>
      <c r="C173" s="605" t="s">
        <v>180</v>
      </c>
      <c r="D173" s="605">
        <v>20000</v>
      </c>
      <c r="E173" s="605" t="s">
        <v>419</v>
      </c>
      <c r="F173" s="605">
        <v>8000</v>
      </c>
      <c r="G173" s="685" t="s">
        <v>791</v>
      </c>
      <c r="H173" s="685" t="s">
        <v>822</v>
      </c>
      <c r="I173" s="605">
        <v>8000</v>
      </c>
      <c r="J173" s="534" t="s">
        <v>1085</v>
      </c>
      <c r="K173" s="528"/>
    </row>
    <row r="174" spans="1:11" ht="14.25" customHeight="1">
      <c r="A174" s="508" t="s">
        <v>181</v>
      </c>
      <c r="B174" s="706" t="s">
        <v>181</v>
      </c>
      <c r="C174" s="678" t="s">
        <v>182</v>
      </c>
      <c r="D174" s="510">
        <v>0</v>
      </c>
      <c r="E174" s="534"/>
      <c r="F174" s="510"/>
      <c r="G174" s="534"/>
      <c r="H174" s="510"/>
      <c r="I174" s="510"/>
      <c r="J174" s="534"/>
      <c r="K174" s="528"/>
    </row>
    <row r="175" spans="1:11" ht="23.25" customHeight="1">
      <c r="A175" s="528"/>
      <c r="B175" s="499">
        <v>10</v>
      </c>
      <c r="C175" s="703" t="s">
        <v>183</v>
      </c>
      <c r="D175" s="707">
        <v>44000</v>
      </c>
      <c r="E175" s="708"/>
      <c r="F175" s="656">
        <f>F176+F179+F180+F181</f>
        <v>52630</v>
      </c>
      <c r="G175" s="656"/>
      <c r="H175" s="656"/>
      <c r="I175" s="656">
        <f t="shared" ref="I175" si="9">I176+I179+I180+I181</f>
        <v>52630</v>
      </c>
      <c r="J175" s="662"/>
      <c r="K175" s="528"/>
    </row>
    <row r="176" spans="1:11" ht="23.25" customHeight="1">
      <c r="A176" s="528"/>
      <c r="B176" s="709" t="s">
        <v>829</v>
      </c>
      <c r="C176" s="813" t="s">
        <v>422</v>
      </c>
      <c r="D176" s="509">
        <v>32000</v>
      </c>
      <c r="E176" s="667"/>
      <c r="F176" s="710">
        <f>F177+F178</f>
        <v>40000</v>
      </c>
      <c r="G176" s="710"/>
      <c r="H176" s="710"/>
      <c r="I176" s="710">
        <f t="shared" ref="I176" si="10">I177+I178</f>
        <v>40000</v>
      </c>
      <c r="J176" s="711"/>
      <c r="K176" s="528"/>
    </row>
    <row r="177" spans="1:11" s="606" customFormat="1" ht="224.25" customHeight="1">
      <c r="A177" s="632"/>
      <c r="B177" s="835"/>
      <c r="C177" s="814"/>
      <c r="D177" s="702"/>
      <c r="E177" s="688" t="s">
        <v>793</v>
      </c>
      <c r="F177" s="687">
        <v>17334</v>
      </c>
      <c r="G177" s="688" t="s">
        <v>795</v>
      </c>
      <c r="H177" s="687" t="s">
        <v>823</v>
      </c>
      <c r="I177" s="687">
        <v>17334</v>
      </c>
      <c r="J177" s="688" t="s">
        <v>792</v>
      </c>
      <c r="K177" s="632"/>
    </row>
    <row r="178" spans="1:11" s="606" customFormat="1" ht="127.5" customHeight="1">
      <c r="A178" s="632"/>
      <c r="B178" s="835"/>
      <c r="C178" s="814"/>
      <c r="D178" s="702"/>
      <c r="E178" s="688" t="s">
        <v>794</v>
      </c>
      <c r="F178" s="687">
        <v>22666</v>
      </c>
      <c r="G178" s="688" t="s">
        <v>877</v>
      </c>
      <c r="H178" s="687" t="s">
        <v>876</v>
      </c>
      <c r="I178" s="687">
        <v>22666</v>
      </c>
      <c r="J178" s="688" t="s">
        <v>1087</v>
      </c>
      <c r="K178" s="632"/>
    </row>
    <row r="179" spans="1:11" s="494" customFormat="1" ht="159.75" customHeight="1">
      <c r="A179" s="519"/>
      <c r="B179" s="503">
        <v>43871</v>
      </c>
      <c r="C179" s="601" t="s">
        <v>184</v>
      </c>
      <c r="D179" s="601">
        <v>12000</v>
      </c>
      <c r="E179" s="504" t="s">
        <v>562</v>
      </c>
      <c r="F179" s="601">
        <v>12630</v>
      </c>
      <c r="G179" s="504" t="s">
        <v>1001</v>
      </c>
      <c r="H179" s="601" t="s">
        <v>878</v>
      </c>
      <c r="I179" s="601">
        <v>12630</v>
      </c>
      <c r="J179" s="504" t="s">
        <v>568</v>
      </c>
      <c r="K179" s="519"/>
    </row>
    <row r="180" spans="1:11" ht="49.5" customHeight="1">
      <c r="A180" s="528"/>
      <c r="B180" s="705">
        <v>43900</v>
      </c>
      <c r="C180" s="605" t="s">
        <v>185</v>
      </c>
      <c r="D180" s="510">
        <v>0</v>
      </c>
      <c r="E180" s="534"/>
      <c r="F180" s="510"/>
      <c r="G180" s="534"/>
      <c r="H180" s="510"/>
      <c r="I180" s="510"/>
      <c r="J180" s="534"/>
      <c r="K180" s="528"/>
    </row>
    <row r="181" spans="1:11" ht="43.5" customHeight="1">
      <c r="A181" s="528"/>
      <c r="B181" s="705">
        <v>43931</v>
      </c>
      <c r="C181" s="678" t="s">
        <v>186</v>
      </c>
      <c r="D181" s="510">
        <v>0</v>
      </c>
      <c r="E181" s="534"/>
      <c r="F181" s="510"/>
      <c r="G181" s="534"/>
      <c r="H181" s="510"/>
      <c r="I181" s="510"/>
      <c r="J181" s="534"/>
      <c r="K181" s="528"/>
    </row>
    <row r="182" spans="1:11" ht="39.75" customHeight="1">
      <c r="A182" s="511"/>
      <c r="B182" s="499">
        <v>12</v>
      </c>
      <c r="C182" s="500" t="s">
        <v>190</v>
      </c>
      <c r="D182" s="501">
        <f>D183+D184+D185</f>
        <v>66300</v>
      </c>
      <c r="E182" s="662"/>
      <c r="F182" s="658">
        <f>F183+F184</f>
        <v>40080</v>
      </c>
      <c r="G182" s="658"/>
      <c r="H182" s="658"/>
      <c r="I182" s="658">
        <f t="shared" ref="I182" si="11">I183+I184</f>
        <v>40080</v>
      </c>
      <c r="J182" s="662"/>
      <c r="K182" s="528"/>
    </row>
    <row r="183" spans="1:11" s="496" customFormat="1" ht="127.5" customHeight="1">
      <c r="A183" s="636"/>
      <c r="B183" s="503">
        <v>43842</v>
      </c>
      <c r="C183" s="601" t="s">
        <v>423</v>
      </c>
      <c r="D183" s="601">
        <v>24300</v>
      </c>
      <c r="E183" s="504" t="s">
        <v>424</v>
      </c>
      <c r="F183" s="601">
        <v>10800</v>
      </c>
      <c r="G183" s="504" t="s">
        <v>798</v>
      </c>
      <c r="H183" s="601" t="s">
        <v>799</v>
      </c>
      <c r="I183" s="601">
        <f>10800</f>
        <v>10800</v>
      </c>
      <c r="J183" s="504" t="s">
        <v>800</v>
      </c>
      <c r="K183" s="636"/>
    </row>
    <row r="184" spans="1:11" s="512" customFormat="1" ht="152.25" customHeight="1">
      <c r="A184" s="637"/>
      <c r="B184" s="712">
        <v>43873</v>
      </c>
      <c r="C184" s="713" t="s">
        <v>192</v>
      </c>
      <c r="D184" s="713">
        <v>42000</v>
      </c>
      <c r="E184" s="714" t="s">
        <v>924</v>
      </c>
      <c r="F184" s="713">
        <v>29280</v>
      </c>
      <c r="G184" s="714" t="s">
        <v>925</v>
      </c>
      <c r="H184" s="713" t="s">
        <v>926</v>
      </c>
      <c r="I184" s="713">
        <v>29280</v>
      </c>
      <c r="J184" s="714" t="s">
        <v>1088</v>
      </c>
      <c r="K184" s="637"/>
    </row>
    <row r="185" spans="1:11" ht="14.25" customHeight="1">
      <c r="A185" s="528"/>
      <c r="B185" s="705">
        <v>44267</v>
      </c>
      <c r="C185" s="678" t="s">
        <v>193</v>
      </c>
      <c r="D185" s="510">
        <v>0</v>
      </c>
      <c r="E185" s="534"/>
      <c r="F185" s="510">
        <v>0</v>
      </c>
      <c r="G185" s="534"/>
      <c r="H185" s="510"/>
      <c r="I185" s="510">
        <v>0</v>
      </c>
      <c r="J185" s="534"/>
      <c r="K185" s="528"/>
    </row>
    <row r="186" spans="1:11" ht="25.5" customHeight="1">
      <c r="A186" s="528"/>
      <c r="B186" s="499">
        <v>13</v>
      </c>
      <c r="C186" s="500" t="s">
        <v>195</v>
      </c>
      <c r="D186" s="501">
        <f>D187+D192+D201+D205</f>
        <v>942500</v>
      </c>
      <c r="E186" s="501"/>
      <c r="F186" s="501">
        <f t="shared" ref="F186:I186" si="12">F187+F192+F201+F205</f>
        <v>850845.61</v>
      </c>
      <c r="G186" s="501">
        <f t="shared" si="12"/>
        <v>0</v>
      </c>
      <c r="H186" s="501">
        <f t="shared" si="12"/>
        <v>0</v>
      </c>
      <c r="I186" s="501">
        <f t="shared" si="12"/>
        <v>850845.63</v>
      </c>
      <c r="J186" s="662"/>
      <c r="K186" s="528"/>
    </row>
    <row r="187" spans="1:11" ht="42" customHeight="1">
      <c r="A187" s="638"/>
      <c r="B187" s="616" t="s">
        <v>665</v>
      </c>
      <c r="C187" s="715" t="s">
        <v>196</v>
      </c>
      <c r="D187" s="716">
        <f>D188+D189+D191+D190</f>
        <v>28000</v>
      </c>
      <c r="E187" s="716"/>
      <c r="F187" s="716">
        <f t="shared" ref="F187:I187" si="13">F188+F189+F191+F190</f>
        <v>29900</v>
      </c>
      <c r="G187" s="716"/>
      <c r="H187" s="716"/>
      <c r="I187" s="716">
        <f t="shared" si="13"/>
        <v>29900</v>
      </c>
      <c r="J187" s="717"/>
      <c r="K187" s="528"/>
    </row>
    <row r="188" spans="1:11" ht="14.25" customHeight="1">
      <c r="A188" s="528"/>
      <c r="B188" s="604" t="s">
        <v>426</v>
      </c>
      <c r="C188" s="605" t="s">
        <v>197</v>
      </c>
      <c r="D188" s="510">
        <v>0</v>
      </c>
      <c r="E188" s="534"/>
      <c r="F188" s="510">
        <v>0</v>
      </c>
      <c r="G188" s="534"/>
      <c r="H188" s="510"/>
      <c r="I188" s="510">
        <v>0</v>
      </c>
      <c r="J188" s="534"/>
      <c r="K188" s="528"/>
    </row>
    <row r="189" spans="1:11" s="494" customFormat="1" ht="170.25" customHeight="1">
      <c r="A189" s="519"/>
      <c r="B189" s="600" t="s">
        <v>427</v>
      </c>
      <c r="C189" s="601" t="s">
        <v>198</v>
      </c>
      <c r="D189" s="601">
        <v>28000</v>
      </c>
      <c r="E189" s="504" t="s">
        <v>881</v>
      </c>
      <c r="F189" s="601">
        <v>29900</v>
      </c>
      <c r="G189" s="504" t="s">
        <v>801</v>
      </c>
      <c r="H189" s="601" t="s">
        <v>880</v>
      </c>
      <c r="I189" s="601">
        <v>29900</v>
      </c>
      <c r="J189" s="754" t="s">
        <v>1089</v>
      </c>
      <c r="K189" s="519"/>
    </row>
    <row r="190" spans="1:11" ht="14.25" customHeight="1">
      <c r="A190" s="528"/>
      <c r="B190" s="604" t="s">
        <v>428</v>
      </c>
      <c r="C190" s="605" t="s">
        <v>199</v>
      </c>
      <c r="D190" s="510">
        <v>0</v>
      </c>
      <c r="E190" s="534"/>
      <c r="F190" s="510">
        <v>0</v>
      </c>
      <c r="G190" s="534"/>
      <c r="H190" s="510"/>
      <c r="I190" s="510">
        <v>0</v>
      </c>
      <c r="J190" s="534"/>
      <c r="K190" s="528"/>
    </row>
    <row r="191" spans="1:11" ht="14.25" customHeight="1">
      <c r="A191" s="528"/>
      <c r="B191" s="604" t="s">
        <v>429</v>
      </c>
      <c r="C191" s="605" t="s">
        <v>200</v>
      </c>
      <c r="D191" s="510">
        <v>0</v>
      </c>
      <c r="E191" s="534"/>
      <c r="F191" s="510">
        <v>0</v>
      </c>
      <c r="G191" s="534"/>
      <c r="H191" s="510"/>
      <c r="I191" s="510">
        <v>0</v>
      </c>
      <c r="J191" s="534"/>
      <c r="K191" s="528"/>
    </row>
    <row r="192" spans="1:11" ht="35.25" customHeight="1">
      <c r="A192" s="638"/>
      <c r="B192" s="616" t="s">
        <v>425</v>
      </c>
      <c r="C192" s="715" t="s">
        <v>201</v>
      </c>
      <c r="D192" s="618">
        <f>D193+D198+D199</f>
        <v>205500</v>
      </c>
      <c r="E192" s="717"/>
      <c r="F192" s="718">
        <f>F193+F198+F199</f>
        <v>233764</v>
      </c>
      <c r="G192" s="718"/>
      <c r="H192" s="718"/>
      <c r="I192" s="718">
        <f t="shared" ref="I192" si="14">I193+I198+I199</f>
        <v>233764</v>
      </c>
      <c r="J192" s="717"/>
      <c r="K192" s="528"/>
    </row>
    <row r="193" spans="1:11" s="494" customFormat="1" ht="23.25" customHeight="1">
      <c r="A193" s="519"/>
      <c r="B193" s="825" t="s">
        <v>430</v>
      </c>
      <c r="C193" s="812" t="s">
        <v>431</v>
      </c>
      <c r="D193" s="812">
        <v>117000</v>
      </c>
      <c r="E193" s="719"/>
      <c r="F193" s="720">
        <f>F194+F195+F196+F197</f>
        <v>141364</v>
      </c>
      <c r="G193" s="720"/>
      <c r="H193" s="720"/>
      <c r="I193" s="720">
        <f t="shared" ref="I193" si="15">I194+I195+I196+I197</f>
        <v>141364</v>
      </c>
      <c r="J193" s="719"/>
      <c r="K193" s="519"/>
    </row>
    <row r="194" spans="1:11" s="494" customFormat="1" ht="219" customHeight="1">
      <c r="A194" s="519"/>
      <c r="B194" s="841"/>
      <c r="C194" s="818"/>
      <c r="D194" s="843"/>
      <c r="E194" s="504" t="s">
        <v>808</v>
      </c>
      <c r="F194" s="721">
        <v>20000</v>
      </c>
      <c r="G194" s="504" t="s">
        <v>893</v>
      </c>
      <c r="H194" s="601" t="s">
        <v>892</v>
      </c>
      <c r="I194" s="601">
        <v>20000</v>
      </c>
      <c r="J194" s="504" t="s">
        <v>807</v>
      </c>
      <c r="K194" s="519"/>
    </row>
    <row r="195" spans="1:11" s="494" customFormat="1" ht="240.75" customHeight="1">
      <c r="A195" s="519"/>
      <c r="B195" s="841"/>
      <c r="C195" s="818"/>
      <c r="D195" s="843"/>
      <c r="E195" s="504" t="s">
        <v>927</v>
      </c>
      <c r="F195" s="721">
        <v>50664</v>
      </c>
      <c r="G195" s="504" t="s">
        <v>931</v>
      </c>
      <c r="H195" s="601" t="s">
        <v>932</v>
      </c>
      <c r="I195" s="601">
        <v>50664</v>
      </c>
      <c r="J195" s="754" t="s">
        <v>1090</v>
      </c>
      <c r="K195" s="519"/>
    </row>
    <row r="196" spans="1:11" s="606" customFormat="1" ht="284.25" customHeight="1">
      <c r="A196" s="632"/>
      <c r="B196" s="841"/>
      <c r="C196" s="818"/>
      <c r="D196" s="843"/>
      <c r="E196" s="688" t="s">
        <v>804</v>
      </c>
      <c r="F196" s="722">
        <v>31700</v>
      </c>
      <c r="G196" s="688" t="s">
        <v>882</v>
      </c>
      <c r="H196" s="687" t="s">
        <v>805</v>
      </c>
      <c r="I196" s="687">
        <v>31700</v>
      </c>
      <c r="J196" s="688" t="s">
        <v>806</v>
      </c>
      <c r="K196" s="632"/>
    </row>
    <row r="197" spans="1:11" s="606" customFormat="1" ht="356.25" customHeight="1">
      <c r="A197" s="632"/>
      <c r="B197" s="841"/>
      <c r="C197" s="818"/>
      <c r="D197" s="843"/>
      <c r="E197" s="688" t="s">
        <v>802</v>
      </c>
      <c r="F197" s="722">
        <v>39000</v>
      </c>
      <c r="G197" s="688" t="s">
        <v>1002</v>
      </c>
      <c r="H197" s="687" t="s">
        <v>803</v>
      </c>
      <c r="I197" s="687">
        <v>39000</v>
      </c>
      <c r="J197" s="688" t="s">
        <v>1003</v>
      </c>
      <c r="K197" s="632"/>
    </row>
    <row r="198" spans="1:11" s="494" customFormat="1" ht="169.5" customHeight="1">
      <c r="A198" s="519"/>
      <c r="B198" s="600" t="s">
        <v>432</v>
      </c>
      <c r="C198" s="601" t="s">
        <v>202</v>
      </c>
      <c r="D198" s="601">
        <v>26000</v>
      </c>
      <c r="E198" s="504" t="s">
        <v>809</v>
      </c>
      <c r="F198" s="601">
        <v>29900</v>
      </c>
      <c r="G198" s="504" t="s">
        <v>810</v>
      </c>
      <c r="H198" s="601" t="s">
        <v>883</v>
      </c>
      <c r="I198" s="601">
        <v>29900</v>
      </c>
      <c r="J198" s="754" t="s">
        <v>1091</v>
      </c>
      <c r="K198" s="519"/>
    </row>
    <row r="199" spans="1:11" s="494" customFormat="1" ht="210.75" customHeight="1">
      <c r="A199" s="519"/>
      <c r="B199" s="600" t="s">
        <v>433</v>
      </c>
      <c r="C199" s="601" t="s">
        <v>203</v>
      </c>
      <c r="D199" s="601">
        <v>62500</v>
      </c>
      <c r="E199" s="504" t="s">
        <v>811</v>
      </c>
      <c r="F199" s="601">
        <v>62500</v>
      </c>
      <c r="G199" s="504" t="s">
        <v>885</v>
      </c>
      <c r="H199" s="601" t="s">
        <v>884</v>
      </c>
      <c r="I199" s="601">
        <v>62500</v>
      </c>
      <c r="J199" s="504" t="s">
        <v>812</v>
      </c>
      <c r="K199" s="519"/>
    </row>
    <row r="200" spans="1:11" ht="14.25" customHeight="1">
      <c r="A200" s="528"/>
      <c r="B200" s="604" t="s">
        <v>434</v>
      </c>
      <c r="C200" s="678" t="s">
        <v>204</v>
      </c>
      <c r="D200" s="510">
        <v>0</v>
      </c>
      <c r="E200" s="534"/>
      <c r="F200" s="510">
        <v>0</v>
      </c>
      <c r="G200" s="534"/>
      <c r="H200" s="510"/>
      <c r="I200" s="510">
        <v>0</v>
      </c>
      <c r="J200" s="534"/>
      <c r="K200" s="528"/>
    </row>
    <row r="201" spans="1:11" ht="14.25" customHeight="1">
      <c r="A201" s="638"/>
      <c r="B201" s="680" t="s">
        <v>435</v>
      </c>
      <c r="C201" s="723" t="s">
        <v>205</v>
      </c>
      <c r="D201" s="683">
        <f>D202+D203+D204</f>
        <v>0</v>
      </c>
      <c r="E201" s="684"/>
      <c r="F201" s="683"/>
      <c r="G201" s="684"/>
      <c r="H201" s="683"/>
      <c r="I201" s="683"/>
      <c r="J201" s="684"/>
      <c r="K201" s="528"/>
    </row>
    <row r="202" spans="1:11" ht="14.25" customHeight="1">
      <c r="A202" s="528"/>
      <c r="B202" s="604" t="s">
        <v>436</v>
      </c>
      <c r="C202" s="605" t="s">
        <v>206</v>
      </c>
      <c r="D202" s="510">
        <v>0</v>
      </c>
      <c r="E202" s="534"/>
      <c r="F202" s="510">
        <v>0</v>
      </c>
      <c r="G202" s="534"/>
      <c r="H202" s="510"/>
      <c r="I202" s="510">
        <v>0</v>
      </c>
      <c r="J202" s="534"/>
      <c r="K202" s="528"/>
    </row>
    <row r="203" spans="1:11" ht="14.25" customHeight="1">
      <c r="A203" s="528"/>
      <c r="B203" s="604" t="s">
        <v>437</v>
      </c>
      <c r="C203" s="605" t="s">
        <v>206</v>
      </c>
      <c r="D203" s="510">
        <v>0</v>
      </c>
      <c r="E203" s="534"/>
      <c r="F203" s="510">
        <v>0</v>
      </c>
      <c r="G203" s="534"/>
      <c r="H203" s="510"/>
      <c r="I203" s="510">
        <v>0</v>
      </c>
      <c r="J203" s="534"/>
      <c r="K203" s="528"/>
    </row>
    <row r="204" spans="1:11" ht="14.25" customHeight="1">
      <c r="A204" s="528"/>
      <c r="B204" s="604" t="s">
        <v>438</v>
      </c>
      <c r="C204" s="605" t="s">
        <v>206</v>
      </c>
      <c r="D204" s="510">
        <v>0</v>
      </c>
      <c r="E204" s="534"/>
      <c r="F204" s="510">
        <v>0</v>
      </c>
      <c r="G204" s="534"/>
      <c r="H204" s="510"/>
      <c r="I204" s="510">
        <v>0</v>
      </c>
      <c r="J204" s="534"/>
      <c r="K204" s="528"/>
    </row>
    <row r="205" spans="1:11" ht="30" customHeight="1">
      <c r="A205" s="638"/>
      <c r="B205" s="616" t="s">
        <v>439</v>
      </c>
      <c r="C205" s="617" t="s">
        <v>195</v>
      </c>
      <c r="D205" s="618">
        <f>D206+D207+D208+D210+D209+D211+D223+D225+D227+D226+D232+D233+D234+D235+D236+D237+D238+D239+D240+D243+D244+D265+D264+D266+D267</f>
        <v>709000</v>
      </c>
      <c r="E205" s="618"/>
      <c r="F205" s="618">
        <f t="shared" ref="F205:I205" si="16">F206+F207+F208+F210+F209+F211+F223+F225+F227+F226+F232+F233+F234+F235+F236+F237+F238+F239+F240+F243+F244+F265+F264+F266+F267</f>
        <v>587181.61</v>
      </c>
      <c r="G205" s="618"/>
      <c r="H205" s="618"/>
      <c r="I205" s="618">
        <f t="shared" si="16"/>
        <v>587181.63</v>
      </c>
      <c r="J205" s="618"/>
      <c r="K205" s="528"/>
    </row>
    <row r="206" spans="1:11" ht="14.25" customHeight="1">
      <c r="A206" s="528"/>
      <c r="B206" s="604" t="s">
        <v>440</v>
      </c>
      <c r="C206" s="605" t="s">
        <v>207</v>
      </c>
      <c r="D206" s="510">
        <v>0</v>
      </c>
      <c r="E206" s="534"/>
      <c r="F206" s="510">
        <v>0</v>
      </c>
      <c r="G206" s="534"/>
      <c r="H206" s="510"/>
      <c r="I206" s="510">
        <v>0</v>
      </c>
      <c r="J206" s="534"/>
      <c r="K206" s="528"/>
    </row>
    <row r="207" spans="1:11" ht="14.25" customHeight="1">
      <c r="A207" s="528"/>
      <c r="B207" s="604" t="s">
        <v>441</v>
      </c>
      <c r="C207" s="605" t="s">
        <v>208</v>
      </c>
      <c r="D207" s="510">
        <v>0</v>
      </c>
      <c r="E207" s="534"/>
      <c r="F207" s="510">
        <v>0</v>
      </c>
      <c r="G207" s="534"/>
      <c r="H207" s="510"/>
      <c r="I207" s="510">
        <v>0</v>
      </c>
      <c r="J207" s="534"/>
      <c r="K207" s="528"/>
    </row>
    <row r="208" spans="1:11" ht="14.25" customHeight="1">
      <c r="A208" s="528"/>
      <c r="B208" s="604" t="s">
        <v>442</v>
      </c>
      <c r="C208" s="605" t="s">
        <v>209</v>
      </c>
      <c r="D208" s="510">
        <v>0</v>
      </c>
      <c r="E208" s="534"/>
      <c r="F208" s="510">
        <v>0</v>
      </c>
      <c r="G208" s="534"/>
      <c r="H208" s="510"/>
      <c r="I208" s="510">
        <v>0</v>
      </c>
      <c r="J208" s="534"/>
      <c r="K208" s="528"/>
    </row>
    <row r="209" spans="1:11" ht="14.25" customHeight="1">
      <c r="A209" s="528"/>
      <c r="B209" s="604" t="s">
        <v>443</v>
      </c>
      <c r="C209" s="605" t="s">
        <v>210</v>
      </c>
      <c r="D209" s="510">
        <v>0</v>
      </c>
      <c r="E209" s="534"/>
      <c r="F209" s="510">
        <v>0</v>
      </c>
      <c r="G209" s="534"/>
      <c r="H209" s="510"/>
      <c r="I209" s="510">
        <v>0</v>
      </c>
      <c r="J209" s="534"/>
      <c r="K209" s="528"/>
    </row>
    <row r="210" spans="1:11" ht="72.75" customHeight="1">
      <c r="A210" s="528"/>
      <c r="B210" s="604" t="s">
        <v>444</v>
      </c>
      <c r="C210" s="605" t="s">
        <v>445</v>
      </c>
      <c r="D210" s="510">
        <v>0</v>
      </c>
      <c r="E210" s="534"/>
      <c r="F210" s="510">
        <v>0</v>
      </c>
      <c r="G210" s="534"/>
      <c r="H210" s="510"/>
      <c r="I210" s="510">
        <v>0</v>
      </c>
      <c r="J210" s="534"/>
      <c r="K210" s="528"/>
    </row>
    <row r="211" spans="1:11" ht="47.25" customHeight="1">
      <c r="A211" s="528"/>
      <c r="B211" s="821" t="s">
        <v>446</v>
      </c>
      <c r="C211" s="817" t="s">
        <v>211</v>
      </c>
      <c r="D211" s="817">
        <v>72000</v>
      </c>
      <c r="E211" s="685"/>
      <c r="F211" s="605">
        <f>F212+F213+F214+F215+F216+F217+F218+F219+F220+F221</f>
        <v>14077.130000000001</v>
      </c>
      <c r="G211" s="605"/>
      <c r="H211" s="605"/>
      <c r="I211" s="605">
        <f t="shared" ref="I211" si="17">I212+I213+I214+I215+I216+I217+I218+I219+I220+I221+I222</f>
        <v>14077.130000000001</v>
      </c>
      <c r="J211" s="534"/>
      <c r="K211" s="528"/>
    </row>
    <row r="212" spans="1:11" s="496" customFormat="1" ht="195.75" customHeight="1">
      <c r="A212" s="636"/>
      <c r="B212" s="841"/>
      <c r="C212" s="842"/>
      <c r="D212" s="843"/>
      <c r="E212" s="504" t="s">
        <v>1004</v>
      </c>
      <c r="F212" s="601">
        <v>2723</v>
      </c>
      <c r="G212" s="506" t="s">
        <v>1005</v>
      </c>
      <c r="H212" s="601" t="s">
        <v>447</v>
      </c>
      <c r="I212" s="601">
        <v>2723</v>
      </c>
      <c r="J212" s="504" t="s">
        <v>830</v>
      </c>
      <c r="K212" s="636"/>
    </row>
    <row r="213" spans="1:11" s="496" customFormat="1" ht="127.5" customHeight="1">
      <c r="A213" s="636"/>
      <c r="B213" s="841"/>
      <c r="C213" s="842"/>
      <c r="D213" s="843"/>
      <c r="E213" s="504" t="s">
        <v>1006</v>
      </c>
      <c r="F213" s="601">
        <v>708.82</v>
      </c>
      <c r="G213" s="504"/>
      <c r="H213" s="601" t="s">
        <v>448</v>
      </c>
      <c r="I213" s="601">
        <v>708.82</v>
      </c>
      <c r="J213" s="504" t="s">
        <v>449</v>
      </c>
      <c r="K213" s="636"/>
    </row>
    <row r="214" spans="1:11" s="496" customFormat="1" ht="131.25" customHeight="1">
      <c r="A214" s="636"/>
      <c r="B214" s="841"/>
      <c r="C214" s="842"/>
      <c r="D214" s="843"/>
      <c r="E214" s="504" t="s">
        <v>1007</v>
      </c>
      <c r="F214" s="601">
        <f>658.14+659.53+724.44</f>
        <v>2042.1100000000001</v>
      </c>
      <c r="G214" s="504"/>
      <c r="H214" s="601" t="s">
        <v>1008</v>
      </c>
      <c r="I214" s="601">
        <v>2042.11</v>
      </c>
      <c r="J214" s="504" t="s">
        <v>450</v>
      </c>
      <c r="K214" s="636"/>
    </row>
    <row r="215" spans="1:11" s="496" customFormat="1" ht="128.25" customHeight="1">
      <c r="A215" s="636"/>
      <c r="B215" s="841"/>
      <c r="C215" s="842"/>
      <c r="D215" s="843"/>
      <c r="E215" s="504" t="s">
        <v>1009</v>
      </c>
      <c r="F215" s="601">
        <f>645.14</f>
        <v>645.14</v>
      </c>
      <c r="G215" s="504"/>
      <c r="H215" s="601" t="s">
        <v>451</v>
      </c>
      <c r="I215" s="601">
        <v>645.14</v>
      </c>
      <c r="J215" s="504" t="s">
        <v>452</v>
      </c>
      <c r="K215" s="636"/>
    </row>
    <row r="216" spans="1:11" s="496" customFormat="1" ht="176.25" customHeight="1">
      <c r="A216" s="636"/>
      <c r="B216" s="841"/>
      <c r="C216" s="842"/>
      <c r="D216" s="843"/>
      <c r="E216" s="504" t="s">
        <v>1010</v>
      </c>
      <c r="F216" s="601">
        <f>351.74+475.72+518.5+514.53</f>
        <v>1860.49</v>
      </c>
      <c r="G216" s="724" t="s">
        <v>453</v>
      </c>
      <c r="H216" s="601" t="s">
        <v>1011</v>
      </c>
      <c r="I216" s="601">
        <v>1860.49</v>
      </c>
      <c r="J216" s="504" t="s">
        <v>454</v>
      </c>
      <c r="K216" s="636"/>
    </row>
    <row r="217" spans="1:11" s="496" customFormat="1" ht="152.25" customHeight="1">
      <c r="A217" s="636"/>
      <c r="B217" s="841"/>
      <c r="C217" s="842"/>
      <c r="D217" s="843"/>
      <c r="E217" s="504" t="s">
        <v>1012</v>
      </c>
      <c r="F217" s="601">
        <f>692.47+828.22</f>
        <v>1520.69</v>
      </c>
      <c r="G217" s="504"/>
      <c r="H217" s="601" t="s">
        <v>1013</v>
      </c>
      <c r="I217" s="601">
        <v>1520.69</v>
      </c>
      <c r="J217" s="504" t="s">
        <v>455</v>
      </c>
      <c r="K217" s="636"/>
    </row>
    <row r="218" spans="1:11" s="496" customFormat="1" ht="178.5" customHeight="1">
      <c r="A218" s="636"/>
      <c r="B218" s="841"/>
      <c r="C218" s="842"/>
      <c r="D218" s="843"/>
      <c r="E218" s="504" t="s">
        <v>456</v>
      </c>
      <c r="F218" s="601">
        <v>650.42999999999995</v>
      </c>
      <c r="G218" s="504" t="s">
        <v>457</v>
      </c>
      <c r="H218" s="601" t="s">
        <v>458</v>
      </c>
      <c r="I218" s="601">
        <v>650.42999999999995</v>
      </c>
      <c r="J218" s="504" t="s">
        <v>459</v>
      </c>
      <c r="K218" s="636"/>
    </row>
    <row r="219" spans="1:11" s="496" customFormat="1" ht="194.25" customHeight="1">
      <c r="A219" s="636"/>
      <c r="B219" s="841"/>
      <c r="C219" s="842"/>
      <c r="D219" s="843"/>
      <c r="E219" s="504" t="s">
        <v>1014</v>
      </c>
      <c r="F219" s="601">
        <v>1388.44</v>
      </c>
      <c r="G219" s="504" t="s">
        <v>461</v>
      </c>
      <c r="H219" s="601" t="s">
        <v>462</v>
      </c>
      <c r="I219" s="601">
        <v>1388.44</v>
      </c>
      <c r="J219" s="504" t="s">
        <v>463</v>
      </c>
      <c r="K219" s="636"/>
    </row>
    <row r="220" spans="1:11" ht="180.75" customHeight="1">
      <c r="A220" s="528"/>
      <c r="B220" s="841"/>
      <c r="C220" s="842"/>
      <c r="D220" s="843"/>
      <c r="E220" s="685" t="s">
        <v>1015</v>
      </c>
      <c r="F220" s="605">
        <v>1397.89</v>
      </c>
      <c r="G220" s="685" t="s">
        <v>465</v>
      </c>
      <c r="H220" s="605" t="s">
        <v>466</v>
      </c>
      <c r="I220" s="605">
        <f>747.03+650.86</f>
        <v>1397.8899999999999</v>
      </c>
      <c r="J220" s="685" t="s">
        <v>906</v>
      </c>
      <c r="K220" s="528"/>
    </row>
    <row r="221" spans="1:11" ht="189" customHeight="1">
      <c r="A221" s="528"/>
      <c r="B221" s="841"/>
      <c r="C221" s="842"/>
      <c r="D221" s="843"/>
      <c r="E221" s="685" t="s">
        <v>467</v>
      </c>
      <c r="F221" s="605">
        <v>1140.1199999999999</v>
      </c>
      <c r="G221" s="685" t="s">
        <v>468</v>
      </c>
      <c r="H221" s="605" t="s">
        <v>469</v>
      </c>
      <c r="I221" s="605">
        <f>705.4+434.72</f>
        <v>1140.1199999999999</v>
      </c>
      <c r="J221" s="685" t="s">
        <v>907</v>
      </c>
      <c r="K221" s="528"/>
    </row>
    <row r="222" spans="1:11" ht="55.5" customHeight="1">
      <c r="A222" s="528"/>
      <c r="B222" s="841"/>
      <c r="C222" s="842"/>
      <c r="D222" s="843"/>
      <c r="E222" s="534"/>
      <c r="F222" s="510"/>
      <c r="G222" s="534"/>
      <c r="H222" s="510"/>
      <c r="I222" s="510"/>
      <c r="J222" s="534"/>
      <c r="K222" s="528"/>
    </row>
    <row r="223" spans="1:11" s="610" customFormat="1" ht="51" customHeight="1">
      <c r="A223" s="639"/>
      <c r="B223" s="825" t="s">
        <v>470</v>
      </c>
      <c r="C223" s="812" t="s">
        <v>212</v>
      </c>
      <c r="D223" s="812">
        <v>20400</v>
      </c>
      <c r="E223" s="619"/>
      <c r="F223" s="619">
        <f>F224</f>
        <v>20400</v>
      </c>
      <c r="G223" s="619"/>
      <c r="H223" s="619"/>
      <c r="I223" s="619">
        <f>I224</f>
        <v>20400</v>
      </c>
      <c r="J223" s="619"/>
      <c r="K223" s="639"/>
    </row>
    <row r="224" spans="1:11" s="610" customFormat="1" ht="163.5" customHeight="1">
      <c r="A224" s="639"/>
      <c r="B224" s="841"/>
      <c r="C224" s="842"/>
      <c r="D224" s="842"/>
      <c r="E224" s="688" t="s">
        <v>1016</v>
      </c>
      <c r="F224" s="687">
        <v>20400</v>
      </c>
      <c r="G224" s="688" t="s">
        <v>571</v>
      </c>
      <c r="H224" s="687"/>
      <c r="I224" s="687">
        <f>20400</f>
        <v>20400</v>
      </c>
      <c r="J224" s="688" t="s">
        <v>570</v>
      </c>
      <c r="K224" s="639"/>
    </row>
    <row r="225" spans="1:11" s="494" customFormat="1" ht="144.75" customHeight="1">
      <c r="A225" s="519"/>
      <c r="B225" s="600" t="s">
        <v>471</v>
      </c>
      <c r="C225" s="601" t="s">
        <v>213</v>
      </c>
      <c r="D225" s="601">
        <v>16000</v>
      </c>
      <c r="E225" s="601" t="s">
        <v>758</v>
      </c>
      <c r="F225" s="504">
        <v>29800</v>
      </c>
      <c r="G225" s="603" t="s">
        <v>887</v>
      </c>
      <c r="H225" s="601" t="s">
        <v>888</v>
      </c>
      <c r="I225" s="504">
        <v>29800</v>
      </c>
      <c r="J225" s="753" t="s">
        <v>1092</v>
      </c>
      <c r="K225" s="519"/>
    </row>
    <row r="226" spans="1:11" ht="14.25" customHeight="1">
      <c r="A226" s="528"/>
      <c r="B226" s="604" t="s">
        <v>472</v>
      </c>
      <c r="C226" s="605" t="s">
        <v>473</v>
      </c>
      <c r="D226" s="510">
        <v>0</v>
      </c>
      <c r="E226" s="534"/>
      <c r="F226" s="510">
        <v>0</v>
      </c>
      <c r="G226" s="534"/>
      <c r="H226" s="510"/>
      <c r="I226" s="510">
        <v>0</v>
      </c>
      <c r="J226" s="534"/>
      <c r="K226" s="528"/>
    </row>
    <row r="227" spans="1:11" s="515" customFormat="1" ht="52.5" customHeight="1">
      <c r="B227" s="844" t="s">
        <v>474</v>
      </c>
      <c r="C227" s="845" t="s">
        <v>214</v>
      </c>
      <c r="D227" s="845">
        <v>89400</v>
      </c>
      <c r="E227" s="516"/>
      <c r="F227" s="517">
        <f>F228+F229+F230+F231</f>
        <v>95916</v>
      </c>
      <c r="G227" s="517"/>
      <c r="H227" s="517"/>
      <c r="I227" s="517">
        <f t="shared" ref="I227" si="18">I228+I229+I230+I231</f>
        <v>95916</v>
      </c>
      <c r="J227" s="517"/>
    </row>
    <row r="228" spans="1:11" s="514" customFormat="1" ht="221.25" customHeight="1">
      <c r="A228" s="518"/>
      <c r="B228" s="841"/>
      <c r="C228" s="842"/>
      <c r="D228" s="842"/>
      <c r="E228" s="504" t="s">
        <v>569</v>
      </c>
      <c r="F228" s="601">
        <v>40400</v>
      </c>
      <c r="G228" s="504" t="s">
        <v>1017</v>
      </c>
      <c r="H228" s="601" t="s">
        <v>913</v>
      </c>
      <c r="I228" s="601">
        <v>40400</v>
      </c>
      <c r="J228" s="504" t="s">
        <v>1003</v>
      </c>
      <c r="K228" s="513"/>
    </row>
    <row r="229" spans="1:11" s="519" customFormat="1" ht="157.5" customHeight="1">
      <c r="B229" s="841"/>
      <c r="C229" s="842"/>
      <c r="D229" s="842"/>
      <c r="E229" s="504" t="s">
        <v>808</v>
      </c>
      <c r="F229" s="601">
        <v>10000</v>
      </c>
      <c r="G229" s="504" t="s">
        <v>916</v>
      </c>
      <c r="H229" s="601" t="s">
        <v>914</v>
      </c>
      <c r="I229" s="601">
        <v>10000</v>
      </c>
      <c r="J229" s="504" t="s">
        <v>915</v>
      </c>
    </row>
    <row r="230" spans="1:11" s="519" customFormat="1" ht="214.5" customHeight="1">
      <c r="B230" s="841"/>
      <c r="C230" s="842"/>
      <c r="D230" s="842"/>
      <c r="E230" s="504" t="s">
        <v>927</v>
      </c>
      <c r="F230" s="721">
        <v>15536</v>
      </c>
      <c r="G230" s="504" t="s">
        <v>931</v>
      </c>
      <c r="H230" s="601" t="s">
        <v>932</v>
      </c>
      <c r="I230" s="601">
        <v>15536</v>
      </c>
      <c r="J230" s="754" t="s">
        <v>1095</v>
      </c>
    </row>
    <row r="231" spans="1:11" s="519" customFormat="1" ht="174" customHeight="1">
      <c r="B231" s="841"/>
      <c r="C231" s="842"/>
      <c r="D231" s="842"/>
      <c r="E231" s="504" t="s">
        <v>928</v>
      </c>
      <c r="F231" s="601">
        <v>29980</v>
      </c>
      <c r="G231" s="504" t="s">
        <v>929</v>
      </c>
      <c r="H231" s="601" t="s">
        <v>930</v>
      </c>
      <c r="I231" s="601">
        <v>29980</v>
      </c>
      <c r="J231" s="754" t="s">
        <v>1096</v>
      </c>
    </row>
    <row r="232" spans="1:11" ht="153.75" customHeight="1">
      <c r="A232" s="528"/>
      <c r="B232" s="604" t="s">
        <v>475</v>
      </c>
      <c r="C232" s="605" t="s">
        <v>476</v>
      </c>
      <c r="D232" s="605">
        <v>72000</v>
      </c>
      <c r="E232" s="714" t="s">
        <v>1018</v>
      </c>
      <c r="F232" s="713">
        <v>15156.06</v>
      </c>
      <c r="G232" s="714" t="s">
        <v>591</v>
      </c>
      <c r="H232" s="713" t="s">
        <v>592</v>
      </c>
      <c r="I232" s="713">
        <f>186.6+2236.4+10000+2733.06</f>
        <v>15156.06</v>
      </c>
      <c r="J232" s="714" t="s">
        <v>1019</v>
      </c>
      <c r="K232" s="528"/>
    </row>
    <row r="233" spans="1:11" ht="60" customHeight="1">
      <c r="A233" s="528"/>
      <c r="B233" s="604" t="s">
        <v>477</v>
      </c>
      <c r="C233" s="605" t="s">
        <v>215</v>
      </c>
      <c r="D233" s="510">
        <v>0</v>
      </c>
      <c r="E233" s="504"/>
      <c r="F233" s="601">
        <v>0</v>
      </c>
      <c r="G233" s="504"/>
      <c r="H233" s="601"/>
      <c r="I233" s="601">
        <v>0</v>
      </c>
      <c r="J233" s="504"/>
      <c r="K233" s="528"/>
    </row>
    <row r="234" spans="1:11" s="494" customFormat="1" ht="261.75" customHeight="1">
      <c r="A234" s="520"/>
      <c r="B234" s="521" t="s">
        <v>478</v>
      </c>
      <c r="C234" s="522" t="s">
        <v>216</v>
      </c>
      <c r="D234" s="522">
        <v>50000</v>
      </c>
      <c r="E234" s="504" t="s">
        <v>804</v>
      </c>
      <c r="F234" s="721">
        <v>50000</v>
      </c>
      <c r="G234" s="504" t="s">
        <v>882</v>
      </c>
      <c r="H234" s="601" t="s">
        <v>805</v>
      </c>
      <c r="I234" s="601">
        <v>50000</v>
      </c>
      <c r="J234" s="504" t="s">
        <v>806</v>
      </c>
      <c r="K234" s="519"/>
    </row>
    <row r="235" spans="1:11" s="494" customFormat="1" ht="321.75" customHeight="1">
      <c r="A235" s="519"/>
      <c r="B235" s="725" t="s">
        <v>479</v>
      </c>
      <c r="C235" s="601" t="s">
        <v>480</v>
      </c>
      <c r="D235" s="601">
        <v>45000</v>
      </c>
      <c r="E235" s="506" t="s">
        <v>904</v>
      </c>
      <c r="F235" s="603">
        <v>45000</v>
      </c>
      <c r="G235" s="504" t="s">
        <v>918</v>
      </c>
      <c r="H235" s="601" t="s">
        <v>919</v>
      </c>
      <c r="I235" s="601">
        <v>45000</v>
      </c>
      <c r="J235" s="504" t="s">
        <v>903</v>
      </c>
      <c r="K235" s="519"/>
    </row>
    <row r="236" spans="1:11" ht="36.75" customHeight="1">
      <c r="A236" s="528"/>
      <c r="B236" s="604" t="s">
        <v>481</v>
      </c>
      <c r="C236" s="605" t="s">
        <v>217</v>
      </c>
      <c r="D236" s="605">
        <v>0</v>
      </c>
      <c r="E236" s="651"/>
      <c r="F236" s="651">
        <v>0</v>
      </c>
      <c r="G236" s="605"/>
      <c r="H236" s="605"/>
      <c r="I236" s="651">
        <v>0</v>
      </c>
      <c r="J236" s="526"/>
      <c r="K236" s="528"/>
    </row>
    <row r="237" spans="1:11" s="494" customFormat="1" ht="219" customHeight="1">
      <c r="A237" s="519"/>
      <c r="B237" s="600" t="s">
        <v>482</v>
      </c>
      <c r="C237" s="601" t="s">
        <v>483</v>
      </c>
      <c r="D237" s="601">
        <v>5000</v>
      </c>
      <c r="E237" s="504" t="s">
        <v>484</v>
      </c>
      <c r="F237" s="601">
        <v>9231</v>
      </c>
      <c r="G237" s="504" t="s">
        <v>917</v>
      </c>
      <c r="H237" s="601" t="s">
        <v>485</v>
      </c>
      <c r="I237" s="601">
        <f>9231</f>
        <v>9231</v>
      </c>
      <c r="J237" s="504" t="s">
        <v>486</v>
      </c>
      <c r="K237" s="519"/>
    </row>
    <row r="238" spans="1:11" s="519" customFormat="1" ht="156.75" customHeight="1">
      <c r="B238" s="600" t="s">
        <v>487</v>
      </c>
      <c r="C238" s="601" t="s">
        <v>219</v>
      </c>
      <c r="D238" s="601">
        <v>5000</v>
      </c>
      <c r="E238" s="504" t="s">
        <v>1020</v>
      </c>
      <c r="F238" s="601">
        <v>5500</v>
      </c>
      <c r="G238" s="504" t="s">
        <v>572</v>
      </c>
      <c r="H238" s="601" t="s">
        <v>815</v>
      </c>
      <c r="I238" s="601">
        <f>5500</f>
        <v>5500</v>
      </c>
      <c r="J238" s="504" t="s">
        <v>488</v>
      </c>
    </row>
    <row r="239" spans="1:11" s="514" customFormat="1" ht="198" customHeight="1">
      <c r="A239" s="518"/>
      <c r="B239" s="521" t="s">
        <v>489</v>
      </c>
      <c r="C239" s="522" t="s">
        <v>490</v>
      </c>
      <c r="D239" s="601">
        <v>21000</v>
      </c>
      <c r="E239" s="506" t="s">
        <v>1021</v>
      </c>
      <c r="F239" s="603">
        <v>14155.2</v>
      </c>
      <c r="G239" s="506" t="s">
        <v>749</v>
      </c>
      <c r="H239" s="603" t="s">
        <v>851</v>
      </c>
      <c r="I239" s="603">
        <v>14155.2</v>
      </c>
      <c r="J239" s="506" t="s">
        <v>747</v>
      </c>
      <c r="K239" s="513"/>
    </row>
    <row r="240" spans="1:11" s="524" customFormat="1" ht="46.5" customHeight="1">
      <c r="A240" s="523"/>
      <c r="B240" s="846" t="s">
        <v>491</v>
      </c>
      <c r="C240" s="847" t="s">
        <v>492</v>
      </c>
      <c r="D240" s="847">
        <v>20000</v>
      </c>
      <c r="E240" s="514"/>
      <c r="F240" s="514">
        <f>F241+F242</f>
        <v>14527.64</v>
      </c>
      <c r="G240" s="514"/>
      <c r="H240" s="514"/>
      <c r="I240" s="514">
        <f t="shared" ref="I240" si="19">I241+I242</f>
        <v>14527.64</v>
      </c>
      <c r="J240" s="514"/>
    </row>
    <row r="241" spans="1:11" s="519" customFormat="1" ht="203.25" customHeight="1">
      <c r="A241" s="520"/>
      <c r="B241" s="841"/>
      <c r="C241" s="848"/>
      <c r="D241" s="848"/>
      <c r="E241" s="504" t="s">
        <v>1022</v>
      </c>
      <c r="F241" s="601">
        <f>4286.64+2416</f>
        <v>6702.64</v>
      </c>
      <c r="G241" s="504" t="s">
        <v>493</v>
      </c>
      <c r="H241" s="601" t="s">
        <v>494</v>
      </c>
      <c r="I241" s="601">
        <f>2416+4286.64</f>
        <v>6702.64</v>
      </c>
      <c r="J241" s="504" t="s">
        <v>816</v>
      </c>
    </row>
    <row r="242" spans="1:11" s="519" customFormat="1" ht="144" customHeight="1">
      <c r="B242" s="841"/>
      <c r="C242" s="848"/>
      <c r="D242" s="848"/>
      <c r="E242" s="504" t="s">
        <v>900</v>
      </c>
      <c r="F242" s="601">
        <v>7825</v>
      </c>
      <c r="G242" s="504" t="s">
        <v>848</v>
      </c>
      <c r="H242" s="601" t="s">
        <v>849</v>
      </c>
      <c r="I242" s="601">
        <v>7825</v>
      </c>
      <c r="J242" s="754" t="s">
        <v>1093</v>
      </c>
    </row>
    <row r="243" spans="1:11" s="519" customFormat="1" ht="198" customHeight="1">
      <c r="B243" s="600" t="s">
        <v>495</v>
      </c>
      <c r="C243" s="601" t="s">
        <v>220</v>
      </c>
      <c r="D243" s="525">
        <v>40000</v>
      </c>
      <c r="E243" s="504" t="s">
        <v>743</v>
      </c>
      <c r="F243" s="601">
        <v>40000</v>
      </c>
      <c r="G243" s="504" t="s">
        <v>746</v>
      </c>
      <c r="H243" s="601" t="s">
        <v>838</v>
      </c>
      <c r="I243" s="601">
        <f>40000</f>
        <v>40000</v>
      </c>
      <c r="J243" s="504" t="s">
        <v>498</v>
      </c>
    </row>
    <row r="244" spans="1:11" s="494" customFormat="1" ht="58.5" customHeight="1">
      <c r="A244" s="519"/>
      <c r="B244" s="849" t="s">
        <v>499</v>
      </c>
      <c r="C244" s="850" t="s">
        <v>669</v>
      </c>
      <c r="D244" s="814">
        <v>160000</v>
      </c>
      <c r="E244" s="504"/>
      <c r="F244" s="601">
        <f>F245+F246+F247+F248+F249+F250+F251+F252+F253+F254+F255+F256+F257+F258+F259+F260+F261+F262+F263</f>
        <v>134359.6</v>
      </c>
      <c r="G244" s="601"/>
      <c r="H244" s="601"/>
      <c r="I244" s="601">
        <f t="shared" ref="I244" si="20">I245+I246+I247+I248+I249+I250+I251+I252+I253+I254+I255+I256+I257+I258+I259+I260+I261+I262+I263</f>
        <v>134359.62</v>
      </c>
      <c r="J244" s="504"/>
      <c r="K244" s="519"/>
    </row>
    <row r="245" spans="1:11" s="494" customFormat="1" ht="173.25" customHeight="1">
      <c r="A245" s="519"/>
      <c r="B245" s="848"/>
      <c r="C245" s="851"/>
      <c r="D245" s="848"/>
      <c r="E245" s="504" t="s">
        <v>1023</v>
      </c>
      <c r="F245" s="601">
        <v>11180.2</v>
      </c>
      <c r="G245" s="504" t="s">
        <v>1024</v>
      </c>
      <c r="H245" s="601" t="s">
        <v>1025</v>
      </c>
      <c r="I245" s="601">
        <f>9000.07+167.7+2012.43</f>
        <v>11180.2</v>
      </c>
      <c r="J245" s="504" t="s">
        <v>1026</v>
      </c>
      <c r="K245" s="519"/>
    </row>
    <row r="246" spans="1:11" s="494" customFormat="1" ht="193.5" customHeight="1">
      <c r="A246" s="519"/>
      <c r="B246" s="848"/>
      <c r="C246" s="851"/>
      <c r="D246" s="848"/>
      <c r="E246" s="504" t="s">
        <v>1027</v>
      </c>
      <c r="F246" s="601">
        <v>7454</v>
      </c>
      <c r="G246" s="504" t="s">
        <v>501</v>
      </c>
      <c r="H246" s="601" t="s">
        <v>502</v>
      </c>
      <c r="I246" s="601">
        <f>111.81+1341.72+6000.47</f>
        <v>7454</v>
      </c>
      <c r="J246" s="504" t="s">
        <v>503</v>
      </c>
      <c r="K246" s="519"/>
    </row>
    <row r="247" spans="1:11" s="491" customFormat="1" ht="230.25" customHeight="1">
      <c r="A247" s="640"/>
      <c r="B247" s="848"/>
      <c r="C247" s="851"/>
      <c r="D247" s="848"/>
      <c r="E247" s="504" t="s">
        <v>1028</v>
      </c>
      <c r="F247" s="601">
        <v>11180.2</v>
      </c>
      <c r="G247" s="504" t="s">
        <v>505</v>
      </c>
      <c r="H247" s="601" t="s">
        <v>506</v>
      </c>
      <c r="I247" s="601">
        <f>167.7+2012.44+9000.06</f>
        <v>11180.199999999999</v>
      </c>
      <c r="J247" s="504" t="s">
        <v>507</v>
      </c>
      <c r="K247" s="640"/>
    </row>
    <row r="248" spans="1:11" s="491" customFormat="1" ht="167.25" customHeight="1">
      <c r="A248" s="640"/>
      <c r="B248" s="848"/>
      <c r="C248" s="851"/>
      <c r="D248" s="848"/>
      <c r="E248" s="504" t="s">
        <v>1029</v>
      </c>
      <c r="F248" s="601">
        <v>14907</v>
      </c>
      <c r="G248" s="504" t="s">
        <v>509</v>
      </c>
      <c r="H248" s="601" t="s">
        <v>510</v>
      </c>
      <c r="I248" s="601">
        <f>12000.14+223.6+2683.26</f>
        <v>14907</v>
      </c>
      <c r="J248" s="504" t="s">
        <v>511</v>
      </c>
      <c r="K248" s="640"/>
    </row>
    <row r="249" spans="1:11" s="491" customFormat="1" ht="150" customHeight="1">
      <c r="A249" s="640"/>
      <c r="B249" s="848"/>
      <c r="C249" s="851"/>
      <c r="D249" s="848"/>
      <c r="E249" s="504" t="s">
        <v>1030</v>
      </c>
      <c r="F249" s="601">
        <v>11180.2</v>
      </c>
      <c r="G249" s="504" t="s">
        <v>512</v>
      </c>
      <c r="H249" s="601" t="s">
        <v>513</v>
      </c>
      <c r="I249" s="601">
        <f>167.7+2012.44+9000.06</f>
        <v>11180.199999999999</v>
      </c>
      <c r="J249" s="504" t="s">
        <v>514</v>
      </c>
      <c r="K249" s="640"/>
    </row>
    <row r="250" spans="1:11" s="491" customFormat="1" ht="204" customHeight="1">
      <c r="A250" s="640"/>
      <c r="B250" s="848"/>
      <c r="C250" s="851"/>
      <c r="D250" s="848"/>
      <c r="E250" s="504" t="s">
        <v>1031</v>
      </c>
      <c r="F250" s="601">
        <v>6212</v>
      </c>
      <c r="G250" s="504" t="s">
        <v>516</v>
      </c>
      <c r="H250" s="601" t="s">
        <v>517</v>
      </c>
      <c r="I250" s="601">
        <f>5000.68+93.18+1118.16</f>
        <v>6212.02</v>
      </c>
      <c r="J250" s="504" t="s">
        <v>518</v>
      </c>
      <c r="K250" s="640"/>
    </row>
    <row r="251" spans="1:11" s="491" customFormat="1" ht="157.5" customHeight="1">
      <c r="A251" s="640"/>
      <c r="B251" s="848"/>
      <c r="C251" s="851"/>
      <c r="D251" s="848"/>
      <c r="E251" s="504" t="s">
        <v>1032</v>
      </c>
      <c r="F251" s="601">
        <v>4970</v>
      </c>
      <c r="G251" s="504" t="s">
        <v>520</v>
      </c>
      <c r="H251" s="601" t="s">
        <v>521</v>
      </c>
      <c r="I251" s="601">
        <f>74.55+894.6+4000.85</f>
        <v>4970</v>
      </c>
      <c r="J251" s="504" t="s">
        <v>522</v>
      </c>
      <c r="K251" s="640"/>
    </row>
    <row r="252" spans="1:11" s="491" customFormat="1" ht="207.75" customHeight="1">
      <c r="A252" s="640"/>
      <c r="B252" s="848"/>
      <c r="C252" s="851"/>
      <c r="D252" s="848"/>
      <c r="E252" s="506" t="s">
        <v>1033</v>
      </c>
      <c r="F252" s="603">
        <v>4970</v>
      </c>
      <c r="G252" s="506" t="s">
        <v>701</v>
      </c>
      <c r="H252" s="603" t="s">
        <v>700</v>
      </c>
      <c r="I252" s="603">
        <f>4000.85+74.55+894.6</f>
        <v>4970</v>
      </c>
      <c r="J252" s="506" t="s">
        <v>524</v>
      </c>
      <c r="K252" s="640"/>
    </row>
    <row r="253" spans="1:11" s="491" customFormat="1" ht="168.75" customHeight="1">
      <c r="A253" s="640"/>
      <c r="B253" s="848"/>
      <c r="C253" s="851"/>
      <c r="D253" s="848"/>
      <c r="E253" s="504" t="s">
        <v>1034</v>
      </c>
      <c r="F253" s="601">
        <v>6212</v>
      </c>
      <c r="G253" s="504" t="s">
        <v>457</v>
      </c>
      <c r="H253" s="601" t="s">
        <v>525</v>
      </c>
      <c r="I253" s="601">
        <f>93.18+5000.66+1118.16</f>
        <v>6212</v>
      </c>
      <c r="J253" s="504" t="s">
        <v>526</v>
      </c>
      <c r="K253" s="640"/>
    </row>
    <row r="254" spans="1:11" s="491" customFormat="1" ht="200.25" customHeight="1">
      <c r="A254" s="640"/>
      <c r="B254" s="848"/>
      <c r="C254" s="851"/>
      <c r="D254" s="848"/>
      <c r="E254" s="504" t="s">
        <v>1035</v>
      </c>
      <c r="F254" s="601">
        <v>2547</v>
      </c>
      <c r="G254" s="504" t="s">
        <v>461</v>
      </c>
      <c r="H254" s="601" t="s">
        <v>527</v>
      </c>
      <c r="I254" s="601">
        <f>2050.34+458.46+38.2</f>
        <v>2547</v>
      </c>
      <c r="J254" s="504" t="s">
        <v>528</v>
      </c>
      <c r="K254" s="640"/>
    </row>
    <row r="255" spans="1:11" s="491" customFormat="1" ht="213.75" customHeight="1">
      <c r="A255" s="640"/>
      <c r="B255" s="848"/>
      <c r="C255" s="851"/>
      <c r="D255" s="848"/>
      <c r="E255" s="504" t="s">
        <v>702</v>
      </c>
      <c r="F255" s="601">
        <v>5156</v>
      </c>
      <c r="G255" s="504" t="s">
        <v>529</v>
      </c>
      <c r="H255" s="601" t="s">
        <v>530</v>
      </c>
      <c r="I255" s="601">
        <f>4150.58+77.34+928.08</f>
        <v>5156</v>
      </c>
      <c r="J255" s="504" t="s">
        <v>703</v>
      </c>
      <c r="K255" s="640"/>
    </row>
    <row r="256" spans="1:11" s="491" customFormat="1" ht="214.5" customHeight="1">
      <c r="A256" s="640"/>
      <c r="B256" s="848"/>
      <c r="C256" s="851"/>
      <c r="D256" s="848"/>
      <c r="E256" s="504" t="s">
        <v>1036</v>
      </c>
      <c r="F256" s="601">
        <v>5156</v>
      </c>
      <c r="G256" s="504" t="s">
        <v>705</v>
      </c>
      <c r="H256" s="601" t="s">
        <v>704</v>
      </c>
      <c r="I256" s="601">
        <f>77.34+4150.58+928.08</f>
        <v>5156</v>
      </c>
      <c r="J256" s="504" t="s">
        <v>706</v>
      </c>
      <c r="K256" s="640"/>
    </row>
    <row r="257" spans="1:11" s="491" customFormat="1" ht="162.75" customHeight="1">
      <c r="A257" s="640"/>
      <c r="B257" s="848"/>
      <c r="C257" s="851"/>
      <c r="D257" s="848"/>
      <c r="E257" s="504" t="s">
        <v>1037</v>
      </c>
      <c r="F257" s="601">
        <v>2858</v>
      </c>
      <c r="G257" s="504" t="s">
        <v>707</v>
      </c>
      <c r="H257" s="601" t="s">
        <v>533</v>
      </c>
      <c r="I257" s="601">
        <f>514.44+42.87+2300.69</f>
        <v>2858</v>
      </c>
      <c r="J257" s="504" t="s">
        <v>1038</v>
      </c>
      <c r="K257" s="640"/>
    </row>
    <row r="258" spans="1:11" s="491" customFormat="1" ht="198.75" customHeight="1">
      <c r="A258" s="640"/>
      <c r="B258" s="848"/>
      <c r="C258" s="851"/>
      <c r="D258" s="848"/>
      <c r="E258" s="504" t="s">
        <v>1039</v>
      </c>
      <c r="F258" s="601">
        <v>12423</v>
      </c>
      <c r="G258" s="504" t="s">
        <v>1040</v>
      </c>
      <c r="H258" s="601" t="s">
        <v>573</v>
      </c>
      <c r="I258" s="601">
        <f>186.6+10000+2236.4</f>
        <v>12423</v>
      </c>
      <c r="J258" s="504" t="s">
        <v>708</v>
      </c>
      <c r="K258" s="640"/>
    </row>
    <row r="259" spans="1:11" s="491" customFormat="1" ht="234.75" customHeight="1">
      <c r="A259" s="640"/>
      <c r="B259" s="848"/>
      <c r="C259" s="851"/>
      <c r="D259" s="848"/>
      <c r="E259" s="504" t="s">
        <v>1041</v>
      </c>
      <c r="F259" s="601">
        <v>4970</v>
      </c>
      <c r="G259" s="504" t="s">
        <v>575</v>
      </c>
      <c r="H259" s="601" t="s">
        <v>576</v>
      </c>
      <c r="I259" s="601">
        <f>4000.85+74.55+894.6</f>
        <v>4970</v>
      </c>
      <c r="J259" s="504" t="s">
        <v>709</v>
      </c>
      <c r="K259" s="640"/>
    </row>
    <row r="260" spans="1:11" s="491" customFormat="1" ht="183.75" customHeight="1">
      <c r="A260" s="640"/>
      <c r="B260" s="848"/>
      <c r="C260" s="851"/>
      <c r="D260" s="848"/>
      <c r="E260" s="504" t="s">
        <v>577</v>
      </c>
      <c r="F260" s="601">
        <f>1243</f>
        <v>1243</v>
      </c>
      <c r="G260" s="504" t="s">
        <v>578</v>
      </c>
      <c r="H260" s="601" t="s">
        <v>579</v>
      </c>
      <c r="I260" s="601">
        <f>18.64+223.74+1000.62</f>
        <v>1243</v>
      </c>
      <c r="J260" s="504" t="s">
        <v>583</v>
      </c>
      <c r="K260" s="640"/>
    </row>
    <row r="261" spans="1:11" s="491" customFormat="1" ht="133.5" customHeight="1">
      <c r="A261" s="640"/>
      <c r="B261" s="848"/>
      <c r="C261" s="851"/>
      <c r="D261" s="848"/>
      <c r="E261" s="504" t="s">
        <v>580</v>
      </c>
      <c r="F261" s="601">
        <v>1864</v>
      </c>
      <c r="G261" s="504" t="s">
        <v>581</v>
      </c>
      <c r="H261" s="601" t="s">
        <v>710</v>
      </c>
      <c r="I261" s="601">
        <f>27.96+335.52+1500.52</f>
        <v>1864</v>
      </c>
      <c r="J261" s="504" t="s">
        <v>584</v>
      </c>
      <c r="K261" s="640"/>
    </row>
    <row r="262" spans="1:11" s="491" customFormat="1" ht="150" customHeight="1">
      <c r="A262" s="640"/>
      <c r="B262" s="848"/>
      <c r="C262" s="851"/>
      <c r="D262" s="848"/>
      <c r="E262" s="506" t="s">
        <v>585</v>
      </c>
      <c r="F262" s="603">
        <v>3106</v>
      </c>
      <c r="G262" s="506" t="s">
        <v>587</v>
      </c>
      <c r="H262" s="603" t="s">
        <v>586</v>
      </c>
      <c r="I262" s="603">
        <f>46.6+559.4+2500</f>
        <v>3106</v>
      </c>
      <c r="J262" s="506" t="s">
        <v>711</v>
      </c>
      <c r="K262" s="640"/>
    </row>
    <row r="263" spans="1:11" s="491" customFormat="1" ht="154.5" customHeight="1">
      <c r="A263" s="640"/>
      <c r="B263" s="848"/>
      <c r="C263" s="851"/>
      <c r="D263" s="848"/>
      <c r="E263" s="506" t="s">
        <v>588</v>
      </c>
      <c r="F263" s="603">
        <v>16771</v>
      </c>
      <c r="G263" s="506" t="s">
        <v>589</v>
      </c>
      <c r="H263" s="603" t="s">
        <v>590</v>
      </c>
      <c r="I263" s="603">
        <f>3019+252+13500</f>
        <v>16771</v>
      </c>
      <c r="J263" s="506" t="s">
        <v>712</v>
      </c>
      <c r="K263" s="640"/>
    </row>
    <row r="264" spans="1:11" ht="51.75" customHeight="1">
      <c r="A264" s="528"/>
      <c r="B264" s="604" t="s">
        <v>534</v>
      </c>
      <c r="C264" s="601" t="s">
        <v>222</v>
      </c>
      <c r="D264" s="661">
        <v>0</v>
      </c>
      <c r="E264" s="526"/>
      <c r="F264" s="526"/>
      <c r="G264" s="526"/>
      <c r="H264" s="526"/>
      <c r="I264" s="526"/>
      <c r="J264" s="526"/>
      <c r="K264" s="528"/>
    </row>
    <row r="265" spans="1:11" ht="239.25" customHeight="1">
      <c r="A265" s="528"/>
      <c r="B265" s="604" t="s">
        <v>535</v>
      </c>
      <c r="C265" s="601" t="s">
        <v>223</v>
      </c>
      <c r="D265" s="601">
        <v>18000</v>
      </c>
      <c r="E265" s="504" t="s">
        <v>921</v>
      </c>
      <c r="F265" s="601">
        <v>29500</v>
      </c>
      <c r="G265" s="504" t="s">
        <v>920</v>
      </c>
      <c r="H265" s="601" t="s">
        <v>922</v>
      </c>
      <c r="I265" s="753">
        <v>29500</v>
      </c>
      <c r="J265" s="754" t="s">
        <v>1094</v>
      </c>
      <c r="K265" s="528"/>
    </row>
    <row r="266" spans="1:11" s="494" customFormat="1" ht="234.75" customHeight="1">
      <c r="A266" s="519"/>
      <c r="B266" s="600" t="s">
        <v>536</v>
      </c>
      <c r="C266" s="601" t="s">
        <v>224</v>
      </c>
      <c r="D266" s="601">
        <v>40000</v>
      </c>
      <c r="E266" s="504" t="s">
        <v>537</v>
      </c>
      <c r="F266" s="601">
        <v>40000</v>
      </c>
      <c r="G266" s="504" t="s">
        <v>538</v>
      </c>
      <c r="H266" s="601" t="s">
        <v>539</v>
      </c>
      <c r="I266" s="601">
        <v>40000</v>
      </c>
      <c r="J266" s="504" t="s">
        <v>540</v>
      </c>
      <c r="K266" s="519"/>
    </row>
    <row r="267" spans="1:11" s="491" customFormat="1" ht="48.75" customHeight="1">
      <c r="A267" s="640"/>
      <c r="B267" s="604" t="s">
        <v>541</v>
      </c>
      <c r="C267" s="527" t="s">
        <v>225</v>
      </c>
      <c r="D267" s="601">
        <v>35200</v>
      </c>
      <c r="E267" s="504"/>
      <c r="F267" s="601">
        <f>F268+F269+F270+F271+F272+F273+F274+F275+F276+F277+F278+F279+F280+F281+F282+F283+F284+F285+F286</f>
        <v>29558.98</v>
      </c>
      <c r="G267" s="601"/>
      <c r="H267" s="601"/>
      <c r="I267" s="601">
        <f t="shared" ref="I267" si="21">I268+I269+I270+I271+I272+I273+I274+I275+I276+I277+I278+I279+I280+I281+I282+I283+I284+I285+I286</f>
        <v>29558.98</v>
      </c>
      <c r="J267" s="504"/>
      <c r="K267" s="640"/>
    </row>
    <row r="268" spans="1:11" s="491" customFormat="1" ht="174.75" customHeight="1">
      <c r="A268" s="640"/>
      <c r="B268" s="604"/>
      <c r="C268" s="527"/>
      <c r="D268" s="601"/>
      <c r="E268" s="504" t="s">
        <v>1042</v>
      </c>
      <c r="F268" s="601">
        <v>2459.6</v>
      </c>
      <c r="G268" s="504" t="s">
        <v>542</v>
      </c>
      <c r="H268" s="601" t="s">
        <v>1043</v>
      </c>
      <c r="I268" s="601">
        <v>2459.6</v>
      </c>
      <c r="J268" s="504" t="s">
        <v>1044</v>
      </c>
      <c r="K268" s="640"/>
    </row>
    <row r="269" spans="1:11" s="491" customFormat="1" ht="209.25" customHeight="1">
      <c r="A269" s="640"/>
      <c r="B269" s="604"/>
      <c r="C269" s="527"/>
      <c r="D269" s="601"/>
      <c r="E269" s="504" t="s">
        <v>467</v>
      </c>
      <c r="F269" s="601">
        <v>1639.88</v>
      </c>
      <c r="G269" s="504" t="s">
        <v>501</v>
      </c>
      <c r="H269" s="601" t="s">
        <v>502</v>
      </c>
      <c r="I269" s="601">
        <v>1639.88</v>
      </c>
      <c r="J269" s="504" t="s">
        <v>543</v>
      </c>
      <c r="K269" s="640"/>
    </row>
    <row r="270" spans="1:11" ht="189" customHeight="1">
      <c r="A270" s="528"/>
      <c r="B270" s="241"/>
      <c r="C270" s="527"/>
      <c r="D270" s="661"/>
      <c r="E270" s="504" t="s">
        <v>504</v>
      </c>
      <c r="F270" s="601">
        <v>2459.6</v>
      </c>
      <c r="G270" s="504" t="s">
        <v>505</v>
      </c>
      <c r="H270" s="601" t="s">
        <v>506</v>
      </c>
      <c r="I270" s="601">
        <v>2459.6</v>
      </c>
      <c r="J270" s="504" t="s">
        <v>544</v>
      </c>
      <c r="K270" s="528"/>
    </row>
    <row r="271" spans="1:11" ht="177.75" customHeight="1">
      <c r="A271" s="528"/>
      <c r="B271" s="241"/>
      <c r="C271" s="527"/>
      <c r="D271" s="661"/>
      <c r="E271" s="504" t="s">
        <v>508</v>
      </c>
      <c r="F271" s="601">
        <v>3279.54</v>
      </c>
      <c r="G271" s="504" t="s">
        <v>509</v>
      </c>
      <c r="H271" s="601" t="s">
        <v>510</v>
      </c>
      <c r="I271" s="601">
        <v>3279.54</v>
      </c>
      <c r="J271" s="504" t="s">
        <v>545</v>
      </c>
      <c r="K271" s="528"/>
    </row>
    <row r="272" spans="1:11" ht="259.5" customHeight="1">
      <c r="A272" s="528"/>
      <c r="B272" s="604"/>
      <c r="C272" s="527"/>
      <c r="D272" s="661"/>
      <c r="E272" s="504" t="s">
        <v>546</v>
      </c>
      <c r="F272" s="601">
        <v>2459.6</v>
      </c>
      <c r="G272" s="504" t="s">
        <v>512</v>
      </c>
      <c r="H272" s="601" t="s">
        <v>513</v>
      </c>
      <c r="I272" s="601">
        <v>2459.6</v>
      </c>
      <c r="J272" s="504" t="s">
        <v>547</v>
      </c>
      <c r="K272" s="528"/>
    </row>
    <row r="273" spans="1:11" ht="148.5" customHeight="1">
      <c r="A273" s="528"/>
      <c r="B273" s="604"/>
      <c r="C273" s="527"/>
      <c r="D273" s="661"/>
      <c r="E273" s="504" t="s">
        <v>515</v>
      </c>
      <c r="F273" s="601">
        <v>1366.64</v>
      </c>
      <c r="G273" s="504" t="s">
        <v>516</v>
      </c>
      <c r="H273" s="601" t="s">
        <v>548</v>
      </c>
      <c r="I273" s="601">
        <f>1366.64</f>
        <v>1366.64</v>
      </c>
      <c r="J273" s="504" t="s">
        <v>549</v>
      </c>
      <c r="K273" s="528"/>
    </row>
    <row r="274" spans="1:11" ht="155.25" customHeight="1">
      <c r="A274" s="528"/>
      <c r="B274" s="604"/>
      <c r="C274" s="527"/>
      <c r="D274" s="661"/>
      <c r="E274" s="504" t="s">
        <v>519</v>
      </c>
      <c r="F274" s="601">
        <v>1093.4000000000001</v>
      </c>
      <c r="G274" s="504" t="s">
        <v>520</v>
      </c>
      <c r="H274" s="601" t="s">
        <v>521</v>
      </c>
      <c r="I274" s="601">
        <v>1093.4000000000001</v>
      </c>
      <c r="J274" s="504" t="s">
        <v>723</v>
      </c>
      <c r="K274" s="528"/>
    </row>
    <row r="275" spans="1:11" ht="191.25" customHeight="1">
      <c r="A275" s="528"/>
      <c r="B275" s="604"/>
      <c r="C275" s="527"/>
      <c r="D275" s="661"/>
      <c r="E275" s="504" t="s">
        <v>523</v>
      </c>
      <c r="F275" s="601">
        <v>1093.4000000000001</v>
      </c>
      <c r="G275" s="506" t="s">
        <v>701</v>
      </c>
      <c r="H275" s="603" t="s">
        <v>700</v>
      </c>
      <c r="I275" s="601">
        <v>1093.4000000000001</v>
      </c>
      <c r="J275" s="504" t="s">
        <v>550</v>
      </c>
      <c r="K275" s="528"/>
    </row>
    <row r="276" spans="1:11" ht="180.75" customHeight="1">
      <c r="A276" s="528"/>
      <c r="B276" s="604"/>
      <c r="C276" s="527"/>
      <c r="D276" s="661"/>
      <c r="E276" s="504" t="s">
        <v>456</v>
      </c>
      <c r="F276" s="601">
        <v>1366.64</v>
      </c>
      <c r="G276" s="504" t="s">
        <v>457</v>
      </c>
      <c r="H276" s="601" t="s">
        <v>525</v>
      </c>
      <c r="I276" s="601">
        <v>1366.64</v>
      </c>
      <c r="J276" s="504" t="s">
        <v>551</v>
      </c>
      <c r="K276" s="528"/>
    </row>
    <row r="277" spans="1:11" ht="186.75" customHeight="1">
      <c r="A277" s="528"/>
      <c r="B277" s="604"/>
      <c r="C277" s="527"/>
      <c r="D277" s="661"/>
      <c r="E277" s="504" t="s">
        <v>460</v>
      </c>
      <c r="F277" s="601">
        <v>560.34</v>
      </c>
      <c r="G277" s="504" t="s">
        <v>461</v>
      </c>
      <c r="H277" s="601" t="s">
        <v>527</v>
      </c>
      <c r="I277" s="601">
        <v>560.34</v>
      </c>
      <c r="J277" s="504" t="s">
        <v>552</v>
      </c>
      <c r="K277" s="528"/>
    </row>
    <row r="278" spans="1:11" ht="195" customHeight="1">
      <c r="A278" s="528"/>
      <c r="B278" s="604"/>
      <c r="C278" s="527"/>
      <c r="D278" s="661"/>
      <c r="E278" s="504" t="s">
        <v>464</v>
      </c>
      <c r="F278" s="601">
        <v>1134.32</v>
      </c>
      <c r="G278" s="504" t="s">
        <v>465</v>
      </c>
      <c r="H278" s="601" t="s">
        <v>530</v>
      </c>
      <c r="I278" s="601">
        <v>1134.32</v>
      </c>
      <c r="J278" s="504" t="s">
        <v>713</v>
      </c>
      <c r="K278" s="528"/>
    </row>
    <row r="279" spans="1:11" ht="205.5" customHeight="1">
      <c r="A279" s="528"/>
      <c r="B279" s="604"/>
      <c r="C279" s="527"/>
      <c r="D279" s="661"/>
      <c r="E279" s="504" t="s">
        <v>467</v>
      </c>
      <c r="F279" s="601">
        <v>1134.32</v>
      </c>
      <c r="G279" s="504" t="s">
        <v>468</v>
      </c>
      <c r="H279" s="601" t="s">
        <v>502</v>
      </c>
      <c r="I279" s="601">
        <v>1134.32</v>
      </c>
      <c r="J279" s="504" t="s">
        <v>714</v>
      </c>
      <c r="K279" s="528"/>
    </row>
    <row r="280" spans="1:11" ht="192" customHeight="1">
      <c r="A280" s="528"/>
      <c r="B280" s="604"/>
      <c r="C280" s="527"/>
      <c r="D280" s="661"/>
      <c r="E280" s="504" t="s">
        <v>531</v>
      </c>
      <c r="F280" s="601">
        <v>628.76</v>
      </c>
      <c r="G280" s="504" t="s">
        <v>532</v>
      </c>
      <c r="H280" s="601" t="s">
        <v>533</v>
      </c>
      <c r="I280" s="601">
        <v>628.76</v>
      </c>
      <c r="J280" s="504" t="s">
        <v>715</v>
      </c>
      <c r="K280" s="528"/>
    </row>
    <row r="281" spans="1:11" ht="218.25" customHeight="1">
      <c r="A281" s="528"/>
      <c r="B281" s="604"/>
      <c r="C281" s="527"/>
      <c r="D281" s="661"/>
      <c r="E281" s="506" t="s">
        <v>508</v>
      </c>
      <c r="F281" s="603">
        <v>2733.06</v>
      </c>
      <c r="G281" s="506" t="s">
        <v>717</v>
      </c>
      <c r="H281" s="603" t="s">
        <v>573</v>
      </c>
      <c r="I281" s="603">
        <v>2733.06</v>
      </c>
      <c r="J281" s="506" t="s">
        <v>716</v>
      </c>
      <c r="K281" s="528"/>
    </row>
    <row r="282" spans="1:11" ht="159.75" customHeight="1">
      <c r="A282" s="528"/>
      <c r="B282" s="604"/>
      <c r="C282" s="527"/>
      <c r="D282" s="661"/>
      <c r="E282" s="504" t="s">
        <v>574</v>
      </c>
      <c r="F282" s="601">
        <v>1093.4000000000001</v>
      </c>
      <c r="G282" s="504" t="s">
        <v>575</v>
      </c>
      <c r="H282" s="601" t="s">
        <v>576</v>
      </c>
      <c r="I282" s="601">
        <f>1093.4</f>
        <v>1093.4000000000001</v>
      </c>
      <c r="J282" s="504" t="s">
        <v>718</v>
      </c>
      <c r="K282" s="528"/>
    </row>
    <row r="283" spans="1:11" ht="142.5" customHeight="1">
      <c r="A283" s="528"/>
      <c r="B283" s="604"/>
      <c r="C283" s="527"/>
      <c r="D283" s="661"/>
      <c r="E283" s="504" t="s">
        <v>577</v>
      </c>
      <c r="F283" s="601">
        <v>273.45999999999998</v>
      </c>
      <c r="G283" s="504" t="s">
        <v>578</v>
      </c>
      <c r="H283" s="601" t="s">
        <v>579</v>
      </c>
      <c r="I283" s="601">
        <v>273.45999999999998</v>
      </c>
      <c r="J283" s="504" t="s">
        <v>719</v>
      </c>
      <c r="K283" s="528"/>
    </row>
    <row r="284" spans="1:11" ht="150" customHeight="1">
      <c r="A284" s="528"/>
      <c r="B284" s="604"/>
      <c r="C284" s="527"/>
      <c r="D284" s="661"/>
      <c r="E284" s="504" t="s">
        <v>580</v>
      </c>
      <c r="F284" s="601">
        <v>410.08</v>
      </c>
      <c r="G284" s="504" t="s">
        <v>581</v>
      </c>
      <c r="H284" s="601" t="s">
        <v>582</v>
      </c>
      <c r="I284" s="601">
        <f>410.08</f>
        <v>410.08</v>
      </c>
      <c r="J284" s="504" t="s">
        <v>721</v>
      </c>
      <c r="K284" s="528"/>
    </row>
    <row r="285" spans="1:11" ht="160.5" customHeight="1">
      <c r="A285" s="528"/>
      <c r="B285" s="604"/>
      <c r="C285" s="527"/>
      <c r="D285" s="661"/>
      <c r="E285" s="506" t="s">
        <v>585</v>
      </c>
      <c r="F285" s="603">
        <v>683.32</v>
      </c>
      <c r="G285" s="506" t="s">
        <v>587</v>
      </c>
      <c r="H285" s="603" t="s">
        <v>586</v>
      </c>
      <c r="I285" s="603">
        <v>683.32</v>
      </c>
      <c r="J285" s="506" t="s">
        <v>720</v>
      </c>
      <c r="K285" s="528"/>
    </row>
    <row r="286" spans="1:11" s="528" customFormat="1" ht="141.75" customHeight="1">
      <c r="B286" s="604"/>
      <c r="C286" s="527"/>
      <c r="D286" s="661"/>
      <c r="E286" s="506" t="s">
        <v>588</v>
      </c>
      <c r="F286" s="603">
        <v>3689.62</v>
      </c>
      <c r="G286" s="506" t="s">
        <v>589</v>
      </c>
      <c r="H286" s="603" t="s">
        <v>590</v>
      </c>
      <c r="I286" s="603">
        <v>3689.62</v>
      </c>
      <c r="J286" s="506" t="s">
        <v>722</v>
      </c>
    </row>
    <row r="287" spans="1:11" ht="14.25" customHeight="1">
      <c r="A287" s="528"/>
      <c r="B287" s="726" t="s">
        <v>553</v>
      </c>
      <c r="C287" s="727"/>
      <c r="D287" s="682">
        <f>D11+D14+D19+D29+D51+D57+D78+D86+D111+D148+D142+D175+D182+D186</f>
        <v>2443886</v>
      </c>
      <c r="E287" s="682"/>
      <c r="F287" s="682">
        <f t="shared" ref="F287:I287" si="22">F11+F14+F19+F29+F51+F57+F78+F86+F111+F148+F142+F175+F182+F186</f>
        <v>2345106.61</v>
      </c>
      <c r="G287" s="682"/>
      <c r="H287" s="682"/>
      <c r="I287" s="682">
        <f t="shared" si="22"/>
        <v>2345106.63</v>
      </c>
      <c r="J287" s="682"/>
      <c r="K287" s="528"/>
    </row>
    <row r="288" spans="1:11" ht="14.25" customHeight="1">
      <c r="A288" s="528"/>
      <c r="B288" s="726"/>
      <c r="C288" s="727"/>
      <c r="D288" s="682"/>
      <c r="E288" s="682"/>
      <c r="F288" s="682"/>
      <c r="G288" s="682"/>
      <c r="H288" s="682"/>
      <c r="I288" s="682"/>
      <c r="J288" s="682"/>
      <c r="K288" s="528"/>
    </row>
    <row r="289" spans="1:11" s="496" customFormat="1" ht="14.25" customHeight="1">
      <c r="A289" s="636"/>
      <c r="B289" s="810" t="s">
        <v>554</v>
      </c>
      <c r="C289" s="811"/>
      <c r="D289" s="811"/>
      <c r="E289" s="728"/>
      <c r="F289" s="728"/>
      <c r="G289" s="728"/>
      <c r="H289" s="728"/>
      <c r="I289" s="728"/>
      <c r="J289" s="728"/>
      <c r="K289" s="636"/>
    </row>
    <row r="290" spans="1:11" s="496" customFormat="1" ht="14.25" customHeight="1">
      <c r="A290" s="636"/>
      <c r="B290" s="811"/>
      <c r="C290" s="811"/>
      <c r="D290" s="811"/>
      <c r="E290" s="728"/>
      <c r="F290" s="728"/>
      <c r="G290" s="728"/>
      <c r="H290" s="728"/>
      <c r="I290" s="728"/>
      <c r="J290" s="728"/>
      <c r="K290" s="636"/>
    </row>
    <row r="291" spans="1:11" s="606" customFormat="1" ht="14.25" customHeight="1">
      <c r="A291" s="632"/>
      <c r="B291" s="811"/>
      <c r="C291" s="811"/>
      <c r="D291" s="811"/>
      <c r="E291" s="729" t="s">
        <v>234</v>
      </c>
      <c r="F291" s="730"/>
      <c r="G291" s="731"/>
      <c r="H291" s="731"/>
      <c r="I291" s="730"/>
      <c r="J291" s="731"/>
      <c r="K291" s="632"/>
    </row>
    <row r="292" spans="1:11" s="606" customFormat="1" ht="14.25" customHeight="1">
      <c r="A292" s="632"/>
      <c r="B292" s="811"/>
      <c r="C292" s="811"/>
      <c r="D292" s="811"/>
      <c r="E292" s="732" t="s">
        <v>238</v>
      </c>
      <c r="F292" s="733" t="s">
        <v>237</v>
      </c>
      <c r="G292" s="732" t="s">
        <v>239</v>
      </c>
      <c r="H292" s="732" t="s">
        <v>240</v>
      </c>
      <c r="I292" s="732" t="s">
        <v>241</v>
      </c>
      <c r="J292" s="732" t="s">
        <v>242</v>
      </c>
      <c r="K292" s="632"/>
    </row>
    <row r="293" spans="1:11" s="529" customFormat="1" ht="55.5" customHeight="1">
      <c r="A293" s="641"/>
      <c r="B293" s="811"/>
      <c r="C293" s="811"/>
      <c r="D293" s="811"/>
      <c r="E293" s="734" t="s">
        <v>238</v>
      </c>
      <c r="F293" s="735" t="s">
        <v>237</v>
      </c>
      <c r="G293" s="734" t="s">
        <v>239</v>
      </c>
      <c r="H293" s="734" t="s">
        <v>240</v>
      </c>
      <c r="I293" s="734" t="s">
        <v>241</v>
      </c>
      <c r="J293" s="734" t="s">
        <v>242</v>
      </c>
      <c r="K293" s="649"/>
    </row>
    <row r="294" spans="1:11" ht="14.25" customHeight="1">
      <c r="A294" s="495" t="s">
        <v>235</v>
      </c>
      <c r="B294" s="598" t="s">
        <v>236</v>
      </c>
      <c r="C294" s="598" t="s">
        <v>39</v>
      </c>
      <c r="D294" s="654" t="s">
        <v>237</v>
      </c>
      <c r="E294" s="526"/>
      <c r="F294" s="526"/>
      <c r="G294" s="510"/>
      <c r="H294" s="510"/>
      <c r="I294" s="526"/>
      <c r="J294" s="526"/>
      <c r="K294" s="528"/>
    </row>
    <row r="295" spans="1:11" ht="14.25" customHeight="1">
      <c r="A295" s="495" t="s">
        <v>235</v>
      </c>
      <c r="B295" s="598" t="s">
        <v>236</v>
      </c>
      <c r="C295" s="598" t="s">
        <v>39</v>
      </c>
      <c r="D295" s="653" t="s">
        <v>237</v>
      </c>
      <c r="E295" s="526"/>
      <c r="F295" s="526"/>
      <c r="G295" s="510"/>
      <c r="H295" s="510"/>
      <c r="I295" s="526"/>
      <c r="J295" s="526"/>
      <c r="K295" s="528"/>
    </row>
    <row r="296" spans="1:11" ht="14.25" customHeight="1">
      <c r="A296" s="622"/>
      <c r="B296" s="655" t="s">
        <v>243</v>
      </c>
      <c r="C296" s="656" t="s">
        <v>244</v>
      </c>
      <c r="D296" s="657">
        <f>D297</f>
        <v>0</v>
      </c>
      <c r="E296" s="657"/>
      <c r="F296" s="657">
        <f t="shared" ref="F296:I296" si="23">F297</f>
        <v>0</v>
      </c>
      <c r="G296" s="657"/>
      <c r="H296" s="657"/>
      <c r="I296" s="657">
        <f t="shared" si="23"/>
        <v>0</v>
      </c>
      <c r="J296" s="657"/>
      <c r="K296" s="528"/>
    </row>
    <row r="297" spans="1:11" ht="14.25" customHeight="1">
      <c r="A297" s="622"/>
      <c r="B297" s="669" t="s">
        <v>245</v>
      </c>
      <c r="C297" s="605" t="s">
        <v>52</v>
      </c>
      <c r="D297" s="670"/>
      <c r="E297" s="510" t="s">
        <v>52</v>
      </c>
      <c r="F297" s="670"/>
      <c r="G297" s="510"/>
      <c r="H297" s="510"/>
      <c r="I297" s="670"/>
      <c r="J297" s="510"/>
      <c r="K297" s="528"/>
    </row>
    <row r="298" spans="1:11" ht="14.25" customHeight="1">
      <c r="A298" s="622"/>
      <c r="B298" s="655" t="s">
        <v>247</v>
      </c>
      <c r="C298" s="656" t="s">
        <v>248</v>
      </c>
      <c r="D298" s="657">
        <f>D299+D300</f>
        <v>0</v>
      </c>
      <c r="E298" s="657"/>
      <c r="F298" s="657">
        <f>F299+F300</f>
        <v>0</v>
      </c>
      <c r="G298" s="657"/>
      <c r="H298" s="657">
        <f>H299+H300</f>
        <v>0</v>
      </c>
      <c r="I298" s="657">
        <f>I299+I300</f>
        <v>0</v>
      </c>
      <c r="J298" s="657">
        <f>J299+J300</f>
        <v>0</v>
      </c>
      <c r="K298" s="528"/>
    </row>
    <row r="299" spans="1:11" ht="14.25" customHeight="1">
      <c r="A299" s="622"/>
      <c r="B299" s="669" t="s">
        <v>249</v>
      </c>
      <c r="C299" s="605" t="s">
        <v>55</v>
      </c>
      <c r="D299" s="670"/>
      <c r="E299" s="510" t="s">
        <v>55</v>
      </c>
      <c r="F299" s="670"/>
      <c r="G299" s="510"/>
      <c r="H299" s="510"/>
      <c r="I299" s="670"/>
      <c r="J299" s="510"/>
      <c r="K299" s="528"/>
    </row>
    <row r="300" spans="1:11" ht="14.25" customHeight="1">
      <c r="A300" s="622"/>
      <c r="B300" s="669" t="s">
        <v>251</v>
      </c>
      <c r="C300" s="605" t="s">
        <v>56</v>
      </c>
      <c r="D300" s="670"/>
      <c r="E300" s="510" t="s">
        <v>56</v>
      </c>
      <c r="F300" s="670"/>
      <c r="G300" s="510"/>
      <c r="H300" s="510"/>
      <c r="I300" s="670"/>
      <c r="J300" s="510"/>
      <c r="K300" s="528"/>
    </row>
    <row r="301" spans="1:11" ht="14.25" customHeight="1">
      <c r="A301" s="622"/>
      <c r="B301" s="655" t="s">
        <v>253</v>
      </c>
      <c r="C301" s="656" t="s">
        <v>57</v>
      </c>
      <c r="D301" s="657">
        <f>D302+D304+D305+D306+D307+D308+D309+D310+D303</f>
        <v>0</v>
      </c>
      <c r="E301" s="658"/>
      <c r="F301" s="659"/>
      <c r="G301" s="658"/>
      <c r="H301" s="658"/>
      <c r="I301" s="659"/>
      <c r="J301" s="658"/>
      <c r="K301" s="528"/>
    </row>
    <row r="302" spans="1:11" ht="14.25" customHeight="1">
      <c r="A302" s="622"/>
      <c r="B302" s="669" t="s">
        <v>254</v>
      </c>
      <c r="C302" s="605" t="s">
        <v>58</v>
      </c>
      <c r="D302" s="670"/>
      <c r="E302" s="510" t="s">
        <v>58</v>
      </c>
      <c r="F302" s="670"/>
      <c r="G302" s="510"/>
      <c r="H302" s="510"/>
      <c r="I302" s="670"/>
      <c r="J302" s="510"/>
      <c r="K302" s="528"/>
    </row>
    <row r="303" spans="1:11" ht="14.25" customHeight="1">
      <c r="A303" s="622"/>
      <c r="B303" s="669" t="s">
        <v>259</v>
      </c>
      <c r="C303" s="605" t="s">
        <v>59</v>
      </c>
      <c r="D303" s="670"/>
      <c r="E303" s="510" t="s">
        <v>59</v>
      </c>
      <c r="F303" s="670"/>
      <c r="G303" s="510"/>
      <c r="H303" s="510"/>
      <c r="I303" s="670"/>
      <c r="J303" s="510"/>
      <c r="K303" s="528"/>
    </row>
    <row r="304" spans="1:11" ht="14.25" customHeight="1">
      <c r="A304" s="622"/>
      <c r="B304" s="669" t="s">
        <v>263</v>
      </c>
      <c r="C304" s="605" t="s">
        <v>60</v>
      </c>
      <c r="D304" s="670"/>
      <c r="E304" s="510" t="s">
        <v>555</v>
      </c>
      <c r="F304" s="670"/>
      <c r="G304" s="510"/>
      <c r="H304" s="510"/>
      <c r="I304" s="670"/>
      <c r="J304" s="510"/>
      <c r="K304" s="528"/>
    </row>
    <row r="305" spans="1:11" ht="14.25" customHeight="1">
      <c r="A305" s="622"/>
      <c r="B305" s="669" t="s">
        <v>266</v>
      </c>
      <c r="C305" s="605" t="s">
        <v>61</v>
      </c>
      <c r="D305" s="670"/>
      <c r="E305" s="510" t="s">
        <v>61</v>
      </c>
      <c r="F305" s="670"/>
      <c r="G305" s="510"/>
      <c r="H305" s="510"/>
      <c r="I305" s="670"/>
      <c r="J305" s="510"/>
      <c r="K305" s="528"/>
    </row>
    <row r="306" spans="1:11" ht="14.25" customHeight="1">
      <c r="A306" s="622"/>
      <c r="B306" s="669" t="s">
        <v>270</v>
      </c>
      <c r="C306" s="605" t="s">
        <v>556</v>
      </c>
      <c r="D306" s="670"/>
      <c r="E306" s="510" t="s">
        <v>556</v>
      </c>
      <c r="F306" s="670"/>
      <c r="G306" s="510"/>
      <c r="H306" s="510"/>
      <c r="I306" s="670"/>
      <c r="J306" s="510"/>
      <c r="K306" s="528"/>
    </row>
    <row r="307" spans="1:11" ht="14.25" customHeight="1">
      <c r="A307" s="622"/>
      <c r="B307" s="669" t="s">
        <v>276</v>
      </c>
      <c r="C307" s="605" t="s">
        <v>63</v>
      </c>
      <c r="D307" s="670"/>
      <c r="E307" s="510" t="s">
        <v>63</v>
      </c>
      <c r="F307" s="670"/>
      <c r="G307" s="510"/>
      <c r="H307" s="510"/>
      <c r="I307" s="670"/>
      <c r="J307" s="510"/>
      <c r="K307" s="528"/>
    </row>
    <row r="308" spans="1:11" ht="14.25" customHeight="1">
      <c r="A308" s="622"/>
      <c r="B308" s="669" t="s">
        <v>280</v>
      </c>
      <c r="C308" s="605" t="s">
        <v>64</v>
      </c>
      <c r="D308" s="670"/>
      <c r="E308" s="510" t="s">
        <v>64</v>
      </c>
      <c r="F308" s="670"/>
      <c r="G308" s="510"/>
      <c r="H308" s="510"/>
      <c r="I308" s="670"/>
      <c r="J308" s="510"/>
      <c r="K308" s="528"/>
    </row>
    <row r="309" spans="1:11" ht="14.25" customHeight="1">
      <c r="A309" s="622"/>
      <c r="B309" s="669" t="s">
        <v>283</v>
      </c>
      <c r="C309" s="605" t="s">
        <v>65</v>
      </c>
      <c r="D309" s="670"/>
      <c r="E309" s="510" t="s">
        <v>65</v>
      </c>
      <c r="F309" s="670"/>
      <c r="G309" s="510"/>
      <c r="H309" s="510"/>
      <c r="I309" s="670"/>
      <c r="J309" s="510"/>
      <c r="K309" s="528"/>
    </row>
    <row r="310" spans="1:11" ht="14.25" customHeight="1">
      <c r="A310" s="622"/>
      <c r="B310" s="669" t="s">
        <v>287</v>
      </c>
      <c r="C310" s="605" t="s">
        <v>66</v>
      </c>
      <c r="D310" s="670"/>
      <c r="E310" s="510" t="s">
        <v>66</v>
      </c>
      <c r="F310" s="670"/>
      <c r="G310" s="510"/>
      <c r="H310" s="510"/>
      <c r="I310" s="670"/>
      <c r="J310" s="510"/>
      <c r="K310" s="528"/>
    </row>
    <row r="311" spans="1:11" ht="14.25" customHeight="1">
      <c r="A311" s="625"/>
      <c r="B311" s="655" t="s">
        <v>290</v>
      </c>
      <c r="C311" s="656" t="s">
        <v>67</v>
      </c>
      <c r="D311" s="657">
        <f>D312+D313+D314</f>
        <v>0</v>
      </c>
      <c r="E311" s="657">
        <f>E312+E315+E314</f>
        <v>0</v>
      </c>
      <c r="F311" s="657">
        <f>F312+F315+F314</f>
        <v>0</v>
      </c>
      <c r="G311" s="657">
        <f>G312+G315+G314</f>
        <v>0</v>
      </c>
      <c r="H311" s="657">
        <f>H312+H315+H314</f>
        <v>0</v>
      </c>
      <c r="I311" s="657">
        <f>I312+I315+I314</f>
        <v>0</v>
      </c>
      <c r="J311" s="657"/>
      <c r="K311" s="528"/>
    </row>
    <row r="312" spans="1:11" ht="24" customHeight="1">
      <c r="A312" s="625"/>
      <c r="B312" s="604" t="s">
        <v>291</v>
      </c>
      <c r="C312" s="678" t="s">
        <v>68</v>
      </c>
      <c r="D312" s="670"/>
      <c r="E312" s="510"/>
      <c r="F312" s="670"/>
      <c r="G312" s="510"/>
      <c r="H312" s="510"/>
      <c r="I312" s="670"/>
      <c r="J312" s="510"/>
      <c r="K312" s="528"/>
    </row>
    <row r="313" spans="1:11" ht="31.5" customHeight="1">
      <c r="A313" s="625"/>
      <c r="B313" s="604" t="s">
        <v>292</v>
      </c>
      <c r="C313" s="678" t="s">
        <v>69</v>
      </c>
      <c r="D313" s="670"/>
      <c r="E313" s="526"/>
      <c r="F313" s="526"/>
      <c r="G313" s="510"/>
      <c r="H313" s="510"/>
      <c r="I313" s="526"/>
      <c r="J313" s="526"/>
      <c r="K313" s="528"/>
    </row>
    <row r="314" spans="1:11" ht="21.75" customHeight="1">
      <c r="A314" s="625"/>
      <c r="B314" s="604" t="s">
        <v>293</v>
      </c>
      <c r="C314" s="605" t="s">
        <v>57</v>
      </c>
      <c r="D314" s="670"/>
      <c r="E314" s="510"/>
      <c r="F314" s="670"/>
      <c r="G314" s="510"/>
      <c r="H314" s="510"/>
      <c r="I314" s="670"/>
      <c r="J314" s="510"/>
      <c r="K314" s="528"/>
    </row>
    <row r="315" spans="1:11" ht="25.5" customHeight="1">
      <c r="A315" s="625"/>
      <c r="B315" s="655" t="s">
        <v>294</v>
      </c>
      <c r="C315" s="656" t="s">
        <v>70</v>
      </c>
      <c r="D315" s="659">
        <v>0</v>
      </c>
      <c r="E315" s="658"/>
      <c r="F315" s="659"/>
      <c r="G315" s="658"/>
      <c r="H315" s="658"/>
      <c r="I315" s="659"/>
      <c r="J315" s="658"/>
      <c r="K315" s="528"/>
    </row>
    <row r="316" spans="1:11" ht="43.5" customHeight="1">
      <c r="A316" s="625"/>
      <c r="B316" s="669" t="s">
        <v>295</v>
      </c>
      <c r="C316" s="605" t="s">
        <v>296</v>
      </c>
      <c r="D316" s="670">
        <v>0</v>
      </c>
      <c r="E316" s="510"/>
      <c r="F316" s="670"/>
      <c r="G316" s="510"/>
      <c r="H316" s="510"/>
      <c r="I316" s="670"/>
      <c r="J316" s="510"/>
      <c r="K316" s="528"/>
    </row>
    <row r="317" spans="1:11" ht="37.5" customHeight="1">
      <c r="A317" s="625"/>
      <c r="B317" s="669" t="s">
        <v>297</v>
      </c>
      <c r="C317" s="605" t="s">
        <v>296</v>
      </c>
      <c r="D317" s="670">
        <v>0</v>
      </c>
      <c r="E317" s="526"/>
      <c r="F317" s="526"/>
      <c r="G317" s="510"/>
      <c r="H317" s="510"/>
      <c r="I317" s="526"/>
      <c r="J317" s="526"/>
      <c r="K317" s="528"/>
    </row>
    <row r="318" spans="1:11" ht="49.5" customHeight="1">
      <c r="A318" s="625"/>
      <c r="B318" s="669" t="s">
        <v>298</v>
      </c>
      <c r="C318" s="605" t="s">
        <v>296</v>
      </c>
      <c r="D318" s="670">
        <v>0</v>
      </c>
      <c r="E318" s="510"/>
      <c r="F318" s="670"/>
      <c r="G318" s="510"/>
      <c r="H318" s="510"/>
      <c r="I318" s="670"/>
      <c r="J318" s="510"/>
      <c r="K318" s="528"/>
    </row>
    <row r="319" spans="1:11" ht="14.25" customHeight="1">
      <c r="A319" s="625"/>
      <c r="B319" s="676" t="s">
        <v>299</v>
      </c>
      <c r="C319" s="677" t="s">
        <v>72</v>
      </c>
      <c r="D319" s="659">
        <v>0</v>
      </c>
      <c r="E319" s="658"/>
      <c r="F319" s="659"/>
      <c r="G319" s="658"/>
      <c r="H319" s="658"/>
      <c r="I319" s="659"/>
      <c r="J319" s="658"/>
      <c r="K319" s="528"/>
    </row>
    <row r="320" spans="1:11" ht="48.75" customHeight="1">
      <c r="A320" s="625"/>
      <c r="B320" s="604" t="s">
        <v>300</v>
      </c>
      <c r="C320" s="678" t="s">
        <v>301</v>
      </c>
      <c r="D320" s="670">
        <v>0</v>
      </c>
      <c r="E320" s="510"/>
      <c r="F320" s="670"/>
      <c r="G320" s="510"/>
      <c r="H320" s="510"/>
      <c r="I320" s="670"/>
      <c r="J320" s="510"/>
      <c r="K320" s="528"/>
    </row>
    <row r="321" spans="1:11" ht="57.75" customHeight="1">
      <c r="A321" s="625"/>
      <c r="B321" s="604" t="s">
        <v>302</v>
      </c>
      <c r="C321" s="678" t="s">
        <v>301</v>
      </c>
      <c r="D321" s="670">
        <v>0</v>
      </c>
      <c r="E321" s="526"/>
      <c r="F321" s="526"/>
      <c r="G321" s="510"/>
      <c r="H321" s="510"/>
      <c r="I321" s="526"/>
      <c r="J321" s="526"/>
      <c r="K321" s="528"/>
    </row>
    <row r="322" spans="1:11" ht="51.75" customHeight="1">
      <c r="A322" s="625"/>
      <c r="B322" s="604" t="s">
        <v>303</v>
      </c>
      <c r="C322" s="678" t="s">
        <v>301</v>
      </c>
      <c r="D322" s="670">
        <v>0</v>
      </c>
      <c r="E322" s="510"/>
      <c r="F322" s="670"/>
      <c r="G322" s="510"/>
      <c r="H322" s="510"/>
      <c r="I322" s="670"/>
      <c r="J322" s="510"/>
      <c r="K322" s="528"/>
    </row>
    <row r="323" spans="1:11" ht="14.25" customHeight="1">
      <c r="A323" s="625"/>
      <c r="B323" s="676" t="s">
        <v>304</v>
      </c>
      <c r="C323" s="679" t="s">
        <v>74</v>
      </c>
      <c r="D323" s="659">
        <v>0</v>
      </c>
      <c r="E323" s="658"/>
      <c r="F323" s="659"/>
      <c r="G323" s="658"/>
      <c r="H323" s="658"/>
      <c r="I323" s="659"/>
      <c r="J323" s="658"/>
      <c r="K323" s="528"/>
    </row>
    <row r="324" spans="1:11" ht="36.75" customHeight="1">
      <c r="A324" s="625"/>
      <c r="B324" s="604" t="s">
        <v>305</v>
      </c>
      <c r="C324" s="678" t="s">
        <v>75</v>
      </c>
      <c r="D324" s="670">
        <v>0</v>
      </c>
      <c r="E324" s="510"/>
      <c r="F324" s="670"/>
      <c r="G324" s="510"/>
      <c r="H324" s="510"/>
      <c r="I324" s="670"/>
      <c r="J324" s="510"/>
      <c r="K324" s="528"/>
    </row>
    <row r="325" spans="1:11" ht="38.25" customHeight="1">
      <c r="A325" s="625"/>
      <c r="B325" s="604" t="s">
        <v>306</v>
      </c>
      <c r="C325" s="605" t="s">
        <v>75</v>
      </c>
      <c r="D325" s="670">
        <v>0</v>
      </c>
      <c r="E325" s="526"/>
      <c r="F325" s="526"/>
      <c r="G325" s="510"/>
      <c r="H325" s="510"/>
      <c r="I325" s="526"/>
      <c r="J325" s="526"/>
      <c r="K325" s="528"/>
    </row>
    <row r="326" spans="1:11" ht="42" customHeight="1">
      <c r="A326" s="625"/>
      <c r="B326" s="604" t="s">
        <v>307</v>
      </c>
      <c r="C326" s="678" t="s">
        <v>75</v>
      </c>
      <c r="D326" s="670">
        <v>0</v>
      </c>
      <c r="E326" s="510"/>
      <c r="F326" s="670"/>
      <c r="G326" s="510"/>
      <c r="H326" s="510"/>
      <c r="I326" s="670"/>
      <c r="J326" s="510"/>
      <c r="K326" s="528"/>
    </row>
    <row r="327" spans="1:11" ht="14.25" customHeight="1">
      <c r="A327" s="625"/>
      <c r="B327" s="676" t="s">
        <v>308</v>
      </c>
      <c r="C327" s="679" t="s">
        <v>77</v>
      </c>
      <c r="D327" s="659">
        <v>0</v>
      </c>
      <c r="E327" s="658"/>
      <c r="F327" s="659"/>
      <c r="G327" s="658"/>
      <c r="H327" s="658"/>
      <c r="I327" s="659"/>
      <c r="J327" s="658"/>
      <c r="K327" s="528"/>
    </row>
    <row r="328" spans="1:11" ht="37.5" customHeight="1">
      <c r="A328" s="625"/>
      <c r="B328" s="604" t="s">
        <v>309</v>
      </c>
      <c r="C328" s="678" t="s">
        <v>78</v>
      </c>
      <c r="D328" s="670">
        <v>0</v>
      </c>
      <c r="E328" s="510"/>
      <c r="F328" s="670"/>
      <c r="G328" s="510"/>
      <c r="H328" s="510"/>
      <c r="I328" s="670"/>
      <c r="J328" s="510"/>
      <c r="K328" s="528"/>
    </row>
    <row r="329" spans="1:11" ht="34.5" customHeight="1">
      <c r="A329" s="625"/>
      <c r="B329" s="604" t="s">
        <v>310</v>
      </c>
      <c r="C329" s="678" t="s">
        <v>79</v>
      </c>
      <c r="D329" s="670">
        <v>0</v>
      </c>
      <c r="E329" s="737"/>
      <c r="F329" s="738"/>
      <c r="G329" s="737"/>
      <c r="H329" s="737"/>
      <c r="I329" s="738"/>
      <c r="J329" s="737"/>
      <c r="K329" s="528"/>
    </row>
    <row r="330" spans="1:11" ht="36.75" customHeight="1">
      <c r="A330" s="625"/>
      <c r="B330" s="604" t="s">
        <v>311</v>
      </c>
      <c r="C330" s="678" t="s">
        <v>78</v>
      </c>
      <c r="D330" s="670">
        <v>0</v>
      </c>
      <c r="E330" s="736"/>
      <c r="F330" s="736"/>
      <c r="G330" s="736"/>
      <c r="H330" s="736"/>
      <c r="I330" s="736"/>
      <c r="J330" s="736"/>
      <c r="K330" s="528"/>
    </row>
    <row r="331" spans="1:11" ht="71.25" customHeight="1">
      <c r="A331" s="625"/>
      <c r="B331" s="676" t="s">
        <v>312</v>
      </c>
      <c r="C331" s="677" t="s">
        <v>82</v>
      </c>
      <c r="D331" s="659">
        <v>0</v>
      </c>
      <c r="E331" s="658"/>
      <c r="F331" s="659"/>
      <c r="G331" s="658"/>
      <c r="H331" s="658"/>
      <c r="I331" s="659"/>
      <c r="J331" s="658"/>
      <c r="K331" s="528"/>
    </row>
    <row r="332" spans="1:11" ht="24.75" customHeight="1">
      <c r="A332" s="625"/>
      <c r="B332" s="676" t="s">
        <v>313</v>
      </c>
      <c r="C332" s="679" t="s">
        <v>89</v>
      </c>
      <c r="D332" s="657">
        <f>D333+D334+D335+D336+D337</f>
        <v>60150</v>
      </c>
      <c r="E332" s="657"/>
      <c r="F332" s="657">
        <f t="shared" ref="F332:I332" si="24">F333+F334+F335+F336+F337</f>
        <v>60000</v>
      </c>
      <c r="G332" s="657"/>
      <c r="H332" s="657"/>
      <c r="I332" s="657">
        <f t="shared" si="24"/>
        <v>60000</v>
      </c>
      <c r="J332" s="657"/>
      <c r="K332" s="528"/>
    </row>
    <row r="333" spans="1:11" s="497" customFormat="1" ht="345.75" customHeight="1">
      <c r="A333" s="630"/>
      <c r="B333" s="602" t="s">
        <v>314</v>
      </c>
      <c r="C333" s="603" t="s">
        <v>315</v>
      </c>
      <c r="D333" s="506">
        <v>48000</v>
      </c>
      <c r="E333" s="603" t="s">
        <v>593</v>
      </c>
      <c r="F333" s="739">
        <v>48000</v>
      </c>
      <c r="G333" s="603" t="s">
        <v>594</v>
      </c>
      <c r="H333" s="603" t="s">
        <v>832</v>
      </c>
      <c r="I333" s="739">
        <f>90+1080+180+2160+2160+180+2160+180+4830+9660+9660+9660+1080+90+4830</f>
        <v>48000</v>
      </c>
      <c r="J333" s="603" t="s">
        <v>831</v>
      </c>
      <c r="K333" s="515"/>
    </row>
    <row r="334" spans="1:11" ht="63" customHeight="1">
      <c r="A334" s="625"/>
      <c r="B334" s="604" t="s">
        <v>316</v>
      </c>
      <c r="C334" s="678" t="s">
        <v>317</v>
      </c>
      <c r="D334" s="534">
        <v>0</v>
      </c>
      <c r="E334" s="526"/>
      <c r="F334" s="526"/>
      <c r="G334" s="510"/>
      <c r="H334" s="510"/>
      <c r="I334" s="526"/>
      <c r="J334" s="526"/>
      <c r="K334" s="528"/>
    </row>
    <row r="335" spans="1:11" ht="14.25" customHeight="1">
      <c r="A335" s="625"/>
      <c r="B335" s="604" t="s">
        <v>318</v>
      </c>
      <c r="C335" s="678" t="s">
        <v>319</v>
      </c>
      <c r="D335" s="534">
        <v>0</v>
      </c>
      <c r="E335" s="510"/>
      <c r="F335" s="670"/>
      <c r="G335" s="510"/>
      <c r="H335" s="510"/>
      <c r="I335" s="670"/>
      <c r="J335" s="510"/>
      <c r="K335" s="528"/>
    </row>
    <row r="336" spans="1:11" s="494" customFormat="1" ht="103.5" customHeight="1">
      <c r="A336" s="626"/>
      <c r="B336" s="600" t="s">
        <v>320</v>
      </c>
      <c r="C336" s="527" t="s">
        <v>321</v>
      </c>
      <c r="D336" s="504">
        <v>12150</v>
      </c>
      <c r="E336" s="692" t="s">
        <v>595</v>
      </c>
      <c r="F336" s="664">
        <v>12000</v>
      </c>
      <c r="G336" s="601" t="s">
        <v>724</v>
      </c>
      <c r="H336" s="601" t="s">
        <v>596</v>
      </c>
      <c r="I336" s="664">
        <v>12000</v>
      </c>
      <c r="J336" s="601" t="s">
        <v>557</v>
      </c>
      <c r="K336" s="519"/>
    </row>
    <row r="337" spans="1:11" ht="68.25" customHeight="1">
      <c r="A337" s="625"/>
      <c r="B337" s="604" t="s">
        <v>322</v>
      </c>
      <c r="C337" s="678" t="s">
        <v>92</v>
      </c>
      <c r="D337" s="534">
        <v>0</v>
      </c>
      <c r="E337" s="510"/>
      <c r="F337" s="670"/>
      <c r="G337" s="510"/>
      <c r="H337" s="510"/>
      <c r="I337" s="670"/>
      <c r="J337" s="510"/>
      <c r="K337" s="528"/>
    </row>
    <row r="338" spans="1:11" ht="31.5" customHeight="1">
      <c r="A338" s="625"/>
      <c r="B338" s="676" t="s">
        <v>323</v>
      </c>
      <c r="C338" s="679" t="s">
        <v>324</v>
      </c>
      <c r="D338" s="740">
        <f>D347+D348+D349+D350+D351+D352+D353+D354</f>
        <v>55400</v>
      </c>
      <c r="E338" s="740"/>
      <c r="F338" s="740">
        <f t="shared" ref="F338:I338" si="25">F347+F348+F349+F350+F351+F352+F353+F354</f>
        <v>61833</v>
      </c>
      <c r="G338" s="740"/>
      <c r="H338" s="740"/>
      <c r="I338" s="740">
        <f t="shared" si="25"/>
        <v>61833</v>
      </c>
      <c r="J338" s="740"/>
      <c r="K338" s="528"/>
    </row>
    <row r="339" spans="1:11" ht="74.25" customHeight="1">
      <c r="A339" s="625"/>
      <c r="B339" s="604" t="s">
        <v>325</v>
      </c>
      <c r="C339" s="689" t="s">
        <v>326</v>
      </c>
      <c r="D339" s="534">
        <v>0</v>
      </c>
      <c r="E339" s="510"/>
      <c r="F339" s="670"/>
      <c r="G339" s="510"/>
      <c r="H339" s="510"/>
      <c r="I339" s="670"/>
      <c r="J339" s="510"/>
      <c r="K339" s="528"/>
    </row>
    <row r="340" spans="1:11" ht="47.25" customHeight="1">
      <c r="A340" s="625"/>
      <c r="B340" s="604" t="s">
        <v>327</v>
      </c>
      <c r="C340" s="689" t="s">
        <v>93</v>
      </c>
      <c r="D340" s="534">
        <v>0</v>
      </c>
      <c r="E340" s="510"/>
      <c r="F340" s="670"/>
      <c r="G340" s="510"/>
      <c r="H340" s="510"/>
      <c r="I340" s="670"/>
      <c r="J340" s="510"/>
      <c r="K340" s="528"/>
    </row>
    <row r="341" spans="1:11" ht="21.75" customHeight="1">
      <c r="A341" s="625"/>
      <c r="B341" s="604" t="s">
        <v>328</v>
      </c>
      <c r="C341" s="689"/>
      <c r="D341" s="534"/>
      <c r="E341" s="510"/>
      <c r="F341" s="670"/>
      <c r="G341" s="510"/>
      <c r="H341" s="510"/>
      <c r="I341" s="670"/>
      <c r="J341" s="510"/>
      <c r="K341" s="528"/>
    </row>
    <row r="342" spans="1:11" ht="85.5" customHeight="1">
      <c r="A342" s="625"/>
      <c r="B342" s="604" t="s">
        <v>329</v>
      </c>
      <c r="C342" s="689" t="s">
        <v>330</v>
      </c>
      <c r="D342" s="534">
        <v>0</v>
      </c>
      <c r="E342" s="510"/>
      <c r="F342" s="670"/>
      <c r="G342" s="510"/>
      <c r="H342" s="510"/>
      <c r="I342" s="670"/>
      <c r="J342" s="510"/>
      <c r="K342" s="528"/>
    </row>
    <row r="343" spans="1:11" ht="57.75" customHeight="1">
      <c r="A343" s="625"/>
      <c r="B343" s="604" t="s">
        <v>333</v>
      </c>
      <c r="C343" s="696" t="s">
        <v>97</v>
      </c>
      <c r="D343" s="534">
        <v>0</v>
      </c>
      <c r="E343" s="510"/>
      <c r="F343" s="670"/>
      <c r="G343" s="510"/>
      <c r="H343" s="510"/>
      <c r="I343" s="670"/>
      <c r="J343" s="510"/>
      <c r="K343" s="528"/>
    </row>
    <row r="344" spans="1:11" ht="73.5" customHeight="1">
      <c r="A344" s="625"/>
      <c r="B344" s="604" t="s">
        <v>334</v>
      </c>
      <c r="C344" s="696" t="s">
        <v>98</v>
      </c>
      <c r="D344" s="534">
        <v>0</v>
      </c>
      <c r="E344" s="510"/>
      <c r="F344" s="670"/>
      <c r="G344" s="510"/>
      <c r="H344" s="510"/>
      <c r="I344" s="670"/>
      <c r="J344" s="510"/>
      <c r="K344" s="528"/>
    </row>
    <row r="345" spans="1:11" ht="73.5" customHeight="1">
      <c r="A345" s="625"/>
      <c r="B345" s="604" t="s">
        <v>336</v>
      </c>
      <c r="C345" s="696" t="s">
        <v>99</v>
      </c>
      <c r="D345" s="534">
        <v>0</v>
      </c>
      <c r="E345" s="510"/>
      <c r="F345" s="670"/>
      <c r="G345" s="510"/>
      <c r="H345" s="510"/>
      <c r="I345" s="670"/>
      <c r="J345" s="510"/>
      <c r="K345" s="528"/>
    </row>
    <row r="346" spans="1:11" ht="97.5" customHeight="1">
      <c r="A346" s="625"/>
      <c r="B346" s="604" t="s">
        <v>337</v>
      </c>
      <c r="C346" s="696" t="s">
        <v>100</v>
      </c>
      <c r="D346" s="534">
        <v>0</v>
      </c>
      <c r="E346" s="510"/>
      <c r="F346" s="670"/>
      <c r="G346" s="510"/>
      <c r="H346" s="510"/>
      <c r="I346" s="670"/>
      <c r="J346" s="510"/>
      <c r="K346" s="528"/>
    </row>
    <row r="347" spans="1:11" ht="127.5" customHeight="1">
      <c r="A347" s="625"/>
      <c r="B347" s="600" t="s">
        <v>338</v>
      </c>
      <c r="C347" s="694" t="s">
        <v>101</v>
      </c>
      <c r="D347" s="685">
        <v>3000</v>
      </c>
      <c r="E347" s="601" t="s">
        <v>558</v>
      </c>
      <c r="F347" s="664">
        <v>1860</v>
      </c>
      <c r="G347" s="601" t="s">
        <v>740</v>
      </c>
      <c r="H347" s="601" t="s">
        <v>741</v>
      </c>
      <c r="I347" s="739">
        <f>1860</f>
        <v>1860</v>
      </c>
      <c r="J347" s="603" t="s">
        <v>559</v>
      </c>
      <c r="K347" s="528"/>
    </row>
    <row r="348" spans="1:11" ht="173.25" customHeight="1">
      <c r="A348" s="625"/>
      <c r="B348" s="600" t="s">
        <v>339</v>
      </c>
      <c r="C348" s="694" t="s">
        <v>102</v>
      </c>
      <c r="D348" s="685">
        <v>20000</v>
      </c>
      <c r="E348" s="504" t="s">
        <v>743</v>
      </c>
      <c r="F348" s="601">
        <v>21860</v>
      </c>
      <c r="G348" s="504" t="s">
        <v>497</v>
      </c>
      <c r="H348" s="601" t="s">
        <v>744</v>
      </c>
      <c r="I348" s="601">
        <v>21860</v>
      </c>
      <c r="J348" s="504" t="s">
        <v>742</v>
      </c>
      <c r="K348" s="528"/>
    </row>
    <row r="349" spans="1:11" s="494" customFormat="1" ht="244.5" customHeight="1">
      <c r="A349" s="626"/>
      <c r="B349" s="600" t="s">
        <v>340</v>
      </c>
      <c r="C349" s="694" t="s">
        <v>103</v>
      </c>
      <c r="D349" s="504">
        <v>22000</v>
      </c>
      <c r="E349" s="504" t="s">
        <v>743</v>
      </c>
      <c r="F349" s="601">
        <v>22000</v>
      </c>
      <c r="G349" s="504" t="s">
        <v>497</v>
      </c>
      <c r="H349" s="601" t="s">
        <v>745</v>
      </c>
      <c r="I349" s="601">
        <f>20000+2000</f>
        <v>22000</v>
      </c>
      <c r="J349" s="504" t="s">
        <v>1045</v>
      </c>
      <c r="K349" s="519"/>
    </row>
    <row r="350" spans="1:11" ht="14.25" customHeight="1">
      <c r="A350" s="625"/>
      <c r="B350" s="604" t="s">
        <v>341</v>
      </c>
      <c r="C350" s="696" t="s">
        <v>104</v>
      </c>
      <c r="D350" s="534">
        <v>0</v>
      </c>
      <c r="E350" s="526"/>
      <c r="F350" s="526"/>
      <c r="G350" s="526"/>
      <c r="H350" s="526"/>
      <c r="I350" s="526"/>
      <c r="J350" s="526"/>
      <c r="K350" s="528"/>
    </row>
    <row r="351" spans="1:11" ht="32.25" customHeight="1">
      <c r="A351" s="625"/>
      <c r="B351" s="604" t="s">
        <v>342</v>
      </c>
      <c r="C351" s="689" t="s">
        <v>105</v>
      </c>
      <c r="D351" s="534">
        <v>0</v>
      </c>
      <c r="E351" s="510"/>
      <c r="F351" s="670"/>
      <c r="G351" s="510"/>
      <c r="H351" s="510"/>
      <c r="I351" s="670"/>
      <c r="J351" s="510"/>
      <c r="K351" s="528"/>
    </row>
    <row r="352" spans="1:11" s="497" customFormat="1" ht="261" customHeight="1">
      <c r="A352" s="630"/>
      <c r="B352" s="602" t="s">
        <v>343</v>
      </c>
      <c r="C352" s="695" t="s">
        <v>106</v>
      </c>
      <c r="D352" s="506">
        <v>10400</v>
      </c>
      <c r="E352" s="603" t="s">
        <v>819</v>
      </c>
      <c r="F352" s="739">
        <v>16113</v>
      </c>
      <c r="G352" s="603" t="s">
        <v>942</v>
      </c>
      <c r="H352" s="603" t="s">
        <v>820</v>
      </c>
      <c r="I352" s="739">
        <v>16113</v>
      </c>
      <c r="J352" s="603" t="s">
        <v>821</v>
      </c>
      <c r="K352" s="515"/>
    </row>
    <row r="353" spans="1:11" ht="14.25" customHeight="1">
      <c r="A353" s="625"/>
      <c r="B353" s="604" t="s">
        <v>344</v>
      </c>
      <c r="C353" s="696" t="s">
        <v>108</v>
      </c>
      <c r="D353" s="534">
        <v>0</v>
      </c>
      <c r="E353" s="526"/>
      <c r="F353" s="526"/>
      <c r="G353" s="510"/>
      <c r="H353" s="510"/>
      <c r="I353" s="526"/>
      <c r="J353" s="526"/>
      <c r="K353" s="528"/>
    </row>
    <row r="354" spans="1:11" ht="14.25" customHeight="1">
      <c r="A354" s="625"/>
      <c r="B354" s="604" t="s">
        <v>345</v>
      </c>
      <c r="C354" s="689" t="s">
        <v>109</v>
      </c>
      <c r="D354" s="670">
        <v>0</v>
      </c>
      <c r="E354" s="510"/>
      <c r="F354" s="670"/>
      <c r="G354" s="510"/>
      <c r="H354" s="510"/>
      <c r="I354" s="670"/>
      <c r="J354" s="510"/>
      <c r="K354" s="528"/>
    </row>
    <row r="355" spans="1:11" ht="14.25" customHeight="1">
      <c r="A355" s="625"/>
      <c r="B355" s="676" t="s">
        <v>346</v>
      </c>
      <c r="C355" s="679" t="s">
        <v>110</v>
      </c>
      <c r="D355" s="657">
        <f>D356+D357+D358</f>
        <v>0</v>
      </c>
      <c r="E355" s="657">
        <f t="shared" ref="E355:J355" si="26">E356+E357+E358</f>
        <v>0</v>
      </c>
      <c r="F355" s="657">
        <f t="shared" si="26"/>
        <v>0</v>
      </c>
      <c r="G355" s="657">
        <f t="shared" si="26"/>
        <v>0</v>
      </c>
      <c r="H355" s="657">
        <f t="shared" si="26"/>
        <v>0</v>
      </c>
      <c r="I355" s="657">
        <f t="shared" si="26"/>
        <v>0</v>
      </c>
      <c r="J355" s="657">
        <f t="shared" si="26"/>
        <v>0</v>
      </c>
      <c r="K355" s="528"/>
    </row>
    <row r="356" spans="1:11" ht="14.25" customHeight="1">
      <c r="A356" s="625"/>
      <c r="B356" s="604" t="s">
        <v>347</v>
      </c>
      <c r="C356" s="689" t="s">
        <v>111</v>
      </c>
      <c r="D356" s="670"/>
      <c r="E356" s="510"/>
      <c r="F356" s="670"/>
      <c r="G356" s="510"/>
      <c r="H356" s="510"/>
      <c r="I356" s="670"/>
      <c r="J356" s="510"/>
      <c r="K356" s="528"/>
    </row>
    <row r="357" spans="1:11" ht="14.25" customHeight="1">
      <c r="A357" s="625"/>
      <c r="B357" s="604" t="s">
        <v>348</v>
      </c>
      <c r="C357" s="689" t="s">
        <v>112</v>
      </c>
      <c r="D357" s="670"/>
      <c r="E357" s="526"/>
      <c r="F357" s="526"/>
      <c r="G357" s="510"/>
      <c r="H357" s="510"/>
      <c r="I357" s="526"/>
      <c r="J357" s="526"/>
      <c r="K357" s="528"/>
    </row>
    <row r="358" spans="1:11" ht="14.25" customHeight="1">
      <c r="A358" s="625"/>
      <c r="B358" s="604" t="s">
        <v>349</v>
      </c>
      <c r="C358" s="689" t="s">
        <v>350</v>
      </c>
      <c r="D358" s="670"/>
      <c r="E358" s="510"/>
      <c r="F358" s="670"/>
      <c r="G358" s="510"/>
      <c r="H358" s="510"/>
      <c r="I358" s="670"/>
      <c r="J358" s="510"/>
      <c r="K358" s="528"/>
    </row>
    <row r="359" spans="1:11" ht="14.25" customHeight="1">
      <c r="A359" s="625"/>
      <c r="B359" s="676" t="s">
        <v>351</v>
      </c>
      <c r="C359" s="679" t="s">
        <v>113</v>
      </c>
      <c r="D359" s="659">
        <v>0</v>
      </c>
      <c r="E359" s="659">
        <v>0</v>
      </c>
      <c r="F359" s="659">
        <v>0</v>
      </c>
      <c r="G359" s="659">
        <v>0</v>
      </c>
      <c r="H359" s="659">
        <v>0</v>
      </c>
      <c r="I359" s="659">
        <v>0</v>
      </c>
      <c r="J359" s="659">
        <v>0</v>
      </c>
      <c r="K359" s="528"/>
    </row>
    <row r="360" spans="1:11" ht="14.25" customHeight="1">
      <c r="A360" s="625"/>
      <c r="B360" s="604" t="s">
        <v>352</v>
      </c>
      <c r="C360" s="605" t="s">
        <v>114</v>
      </c>
      <c r="D360" s="670">
        <v>0</v>
      </c>
      <c r="E360" s="510"/>
      <c r="F360" s="670"/>
      <c r="G360" s="510"/>
      <c r="H360" s="510"/>
      <c r="I360" s="670"/>
      <c r="J360" s="510"/>
      <c r="K360" s="528"/>
    </row>
    <row r="361" spans="1:11" ht="14.25" customHeight="1">
      <c r="A361" s="625"/>
      <c r="B361" s="604" t="s">
        <v>353</v>
      </c>
      <c r="C361" s="605" t="s">
        <v>114</v>
      </c>
      <c r="D361" s="670">
        <v>0</v>
      </c>
      <c r="E361" s="526"/>
      <c r="F361" s="526"/>
      <c r="G361" s="510"/>
      <c r="H361" s="510"/>
      <c r="I361" s="526"/>
      <c r="J361" s="526"/>
      <c r="K361" s="528"/>
    </row>
    <row r="362" spans="1:11" ht="14.25" customHeight="1">
      <c r="A362" s="625"/>
      <c r="B362" s="604" t="s">
        <v>354</v>
      </c>
      <c r="C362" s="605" t="s">
        <v>114</v>
      </c>
      <c r="D362" s="670">
        <v>0</v>
      </c>
      <c r="E362" s="510"/>
      <c r="F362" s="670"/>
      <c r="G362" s="510"/>
      <c r="H362" s="510"/>
      <c r="I362" s="670"/>
      <c r="J362" s="510"/>
      <c r="K362" s="528"/>
    </row>
    <row r="363" spans="1:11" ht="14.25" customHeight="1">
      <c r="A363" s="625"/>
      <c r="B363" s="676" t="s">
        <v>355</v>
      </c>
      <c r="C363" s="679" t="s">
        <v>115</v>
      </c>
      <c r="D363" s="657">
        <f>D364+D365+D366</f>
        <v>0</v>
      </c>
      <c r="E363" s="657"/>
      <c r="F363" s="657">
        <v>0</v>
      </c>
      <c r="G363" s="657"/>
      <c r="H363" s="657"/>
      <c r="I363" s="657">
        <v>0</v>
      </c>
      <c r="J363" s="657"/>
      <c r="K363" s="528"/>
    </row>
    <row r="364" spans="1:11" ht="14.25" customHeight="1">
      <c r="A364" s="625"/>
      <c r="B364" s="604" t="s">
        <v>356</v>
      </c>
      <c r="C364" s="605" t="s">
        <v>116</v>
      </c>
      <c r="D364" s="670"/>
      <c r="E364" s="510"/>
      <c r="F364" s="670"/>
      <c r="G364" s="510"/>
      <c r="H364" s="510"/>
      <c r="I364" s="670"/>
      <c r="J364" s="510"/>
      <c r="K364" s="528"/>
    </row>
    <row r="365" spans="1:11" ht="14.25" customHeight="1">
      <c r="A365" s="625"/>
      <c r="B365" s="604" t="s">
        <v>357</v>
      </c>
      <c r="C365" s="605" t="s">
        <v>114</v>
      </c>
      <c r="D365" s="670"/>
      <c r="E365" s="526"/>
      <c r="F365" s="526"/>
      <c r="G365" s="510"/>
      <c r="H365" s="510"/>
      <c r="I365" s="526"/>
      <c r="J365" s="526"/>
      <c r="K365" s="528"/>
    </row>
    <row r="366" spans="1:11" ht="14.25" customHeight="1">
      <c r="A366" s="625"/>
      <c r="B366" s="604" t="s">
        <v>358</v>
      </c>
      <c r="C366" s="605" t="s">
        <v>114</v>
      </c>
      <c r="D366" s="670"/>
      <c r="E366" s="510"/>
      <c r="F366" s="670"/>
      <c r="G366" s="510"/>
      <c r="H366" s="510"/>
      <c r="I366" s="670"/>
      <c r="J366" s="510"/>
      <c r="K366" s="528"/>
    </row>
    <row r="367" spans="1:11" ht="14.25" customHeight="1">
      <c r="A367" s="625"/>
      <c r="B367" s="676" t="s">
        <v>359</v>
      </c>
      <c r="C367" s="677" t="s">
        <v>118</v>
      </c>
      <c r="D367" s="659">
        <v>0</v>
      </c>
      <c r="E367" s="659"/>
      <c r="F367" s="659">
        <v>0</v>
      </c>
      <c r="G367" s="659"/>
      <c r="H367" s="659"/>
      <c r="I367" s="659">
        <v>0</v>
      </c>
      <c r="J367" s="659"/>
      <c r="K367" s="528"/>
    </row>
    <row r="368" spans="1:11" ht="14.25" customHeight="1">
      <c r="A368" s="625"/>
      <c r="B368" s="604" t="s">
        <v>360</v>
      </c>
      <c r="C368" s="678" t="s">
        <v>119</v>
      </c>
      <c r="D368" s="670">
        <v>0</v>
      </c>
      <c r="E368" s="661"/>
      <c r="F368" s="741"/>
      <c r="G368" s="661"/>
      <c r="H368" s="661"/>
      <c r="I368" s="741"/>
      <c r="J368" s="661"/>
      <c r="K368" s="528"/>
    </row>
    <row r="369" spans="1:11" ht="14.25" customHeight="1">
      <c r="A369" s="625"/>
      <c r="B369" s="604" t="s">
        <v>361</v>
      </c>
      <c r="C369" s="678" t="s">
        <v>119</v>
      </c>
      <c r="D369" s="670">
        <v>0</v>
      </c>
      <c r="E369" s="738"/>
      <c r="F369" s="738"/>
      <c r="G369" s="738"/>
      <c r="H369" s="738"/>
      <c r="I369" s="738"/>
      <c r="J369" s="738"/>
      <c r="K369" s="528"/>
    </row>
    <row r="370" spans="1:11" ht="14.25" customHeight="1">
      <c r="A370" s="625"/>
      <c r="B370" s="604" t="s">
        <v>362</v>
      </c>
      <c r="C370" s="678" t="s">
        <v>119</v>
      </c>
      <c r="D370" s="670">
        <v>0</v>
      </c>
      <c r="E370" s="510"/>
      <c r="F370" s="670"/>
      <c r="G370" s="510"/>
      <c r="H370" s="510"/>
      <c r="I370" s="670"/>
      <c r="J370" s="510"/>
      <c r="K370" s="528"/>
    </row>
    <row r="371" spans="1:11" ht="14.25" customHeight="1">
      <c r="A371" s="625"/>
      <c r="B371" s="676" t="s">
        <v>363</v>
      </c>
      <c r="C371" s="677" t="s">
        <v>121</v>
      </c>
      <c r="D371" s="659">
        <v>0</v>
      </c>
      <c r="E371" s="659"/>
      <c r="F371" s="659">
        <v>0</v>
      </c>
      <c r="G371" s="659"/>
      <c r="H371" s="659"/>
      <c r="I371" s="659">
        <v>0</v>
      </c>
      <c r="J371" s="659"/>
      <c r="K371" s="528"/>
    </row>
    <row r="372" spans="1:11" ht="14.25" customHeight="1">
      <c r="A372" s="625"/>
      <c r="B372" s="604" t="s">
        <v>364</v>
      </c>
      <c r="C372" s="678" t="s">
        <v>122</v>
      </c>
      <c r="D372" s="670">
        <v>0</v>
      </c>
      <c r="E372" s="661"/>
      <c r="F372" s="741"/>
      <c r="G372" s="661"/>
      <c r="H372" s="661"/>
      <c r="I372" s="741"/>
      <c r="J372" s="661"/>
      <c r="K372" s="528"/>
    </row>
    <row r="373" spans="1:11" ht="14.25" customHeight="1">
      <c r="A373" s="625"/>
      <c r="B373" s="604" t="s">
        <v>365</v>
      </c>
      <c r="C373" s="605" t="s">
        <v>122</v>
      </c>
      <c r="D373" s="670">
        <v>0</v>
      </c>
      <c r="E373" s="738"/>
      <c r="F373" s="738">
        <v>0</v>
      </c>
      <c r="G373" s="738"/>
      <c r="H373" s="738"/>
      <c r="I373" s="738">
        <v>0</v>
      </c>
      <c r="J373" s="738"/>
      <c r="K373" s="528"/>
    </row>
    <row r="374" spans="1:11" ht="14.25" customHeight="1">
      <c r="A374" s="625"/>
      <c r="B374" s="604" t="s">
        <v>366</v>
      </c>
      <c r="C374" s="605" t="s">
        <v>122</v>
      </c>
      <c r="D374" s="670">
        <v>0</v>
      </c>
      <c r="E374" s="661"/>
      <c r="F374" s="741"/>
      <c r="G374" s="661"/>
      <c r="H374" s="661"/>
      <c r="I374" s="741"/>
      <c r="J374" s="661"/>
      <c r="K374" s="528"/>
    </row>
    <row r="375" spans="1:11" ht="14.25" customHeight="1">
      <c r="A375" s="625"/>
      <c r="B375" s="676" t="s">
        <v>367</v>
      </c>
      <c r="C375" s="677" t="s">
        <v>123</v>
      </c>
      <c r="D375" s="659">
        <v>0</v>
      </c>
      <c r="E375" s="683"/>
      <c r="F375" s="742"/>
      <c r="G375" s="683"/>
      <c r="H375" s="683"/>
      <c r="I375" s="742"/>
      <c r="J375" s="683"/>
      <c r="K375" s="528"/>
    </row>
    <row r="376" spans="1:11" ht="14.25" customHeight="1">
      <c r="A376" s="625"/>
      <c r="B376" s="604" t="s">
        <v>368</v>
      </c>
      <c r="C376" s="605" t="s">
        <v>75</v>
      </c>
      <c r="D376" s="670">
        <v>0</v>
      </c>
      <c r="E376" s="661"/>
      <c r="F376" s="741"/>
      <c r="G376" s="661"/>
      <c r="H376" s="661"/>
      <c r="I376" s="741"/>
      <c r="J376" s="661"/>
      <c r="K376" s="528"/>
    </row>
    <row r="377" spans="1:11" ht="14.25" customHeight="1">
      <c r="A377" s="625"/>
      <c r="B377" s="604" t="s">
        <v>369</v>
      </c>
      <c r="C377" s="605" t="s">
        <v>75</v>
      </c>
      <c r="D377" s="670">
        <v>0</v>
      </c>
      <c r="E377" s="737"/>
      <c r="F377" s="738"/>
      <c r="G377" s="737"/>
      <c r="H377" s="737"/>
      <c r="I377" s="738"/>
      <c r="J377" s="737"/>
      <c r="K377" s="528"/>
    </row>
    <row r="378" spans="1:11" ht="14.25" customHeight="1">
      <c r="A378" s="625"/>
      <c r="B378" s="604" t="s">
        <v>370</v>
      </c>
      <c r="C378" s="605" t="s">
        <v>75</v>
      </c>
      <c r="D378" s="670">
        <v>0</v>
      </c>
      <c r="E378" s="661"/>
      <c r="F378" s="741"/>
      <c r="G378" s="661"/>
      <c r="H378" s="661"/>
      <c r="I378" s="741"/>
      <c r="J378" s="661"/>
      <c r="K378" s="528"/>
    </row>
    <row r="379" spans="1:11" ht="14.25" customHeight="1">
      <c r="A379" s="625"/>
      <c r="B379" s="676" t="s">
        <v>371</v>
      </c>
      <c r="C379" s="697" t="s">
        <v>126</v>
      </c>
      <c r="D379" s="659">
        <v>0</v>
      </c>
      <c r="E379" s="683"/>
      <c r="F379" s="742"/>
      <c r="G379" s="683"/>
      <c r="H379" s="683"/>
      <c r="I379" s="742"/>
      <c r="J379" s="683"/>
      <c r="K379" s="528"/>
    </row>
    <row r="380" spans="1:11" ht="14.25" customHeight="1">
      <c r="A380" s="625"/>
      <c r="B380" s="604" t="s">
        <v>372</v>
      </c>
      <c r="C380" s="605" t="s">
        <v>127</v>
      </c>
      <c r="D380" s="670">
        <v>0</v>
      </c>
      <c r="E380" s="661"/>
      <c r="F380" s="741"/>
      <c r="G380" s="661"/>
      <c r="H380" s="661"/>
      <c r="I380" s="741"/>
      <c r="J380" s="661"/>
      <c r="K380" s="528"/>
    </row>
    <row r="381" spans="1:11" ht="14.25" customHeight="1">
      <c r="A381" s="625"/>
      <c r="B381" s="604" t="s">
        <v>373</v>
      </c>
      <c r="C381" s="605" t="s">
        <v>127</v>
      </c>
      <c r="D381" s="670">
        <v>0</v>
      </c>
      <c r="E381" s="737"/>
      <c r="F381" s="738"/>
      <c r="G381" s="737"/>
      <c r="H381" s="737"/>
      <c r="I381" s="738"/>
      <c r="J381" s="737"/>
      <c r="K381" s="528"/>
    </row>
    <row r="382" spans="1:11" ht="14.25" customHeight="1">
      <c r="A382" s="625"/>
      <c r="B382" s="604" t="s">
        <v>374</v>
      </c>
      <c r="C382" s="605" t="s">
        <v>127</v>
      </c>
      <c r="D382" s="670">
        <v>0</v>
      </c>
      <c r="E382" s="510"/>
      <c r="F382" s="670"/>
      <c r="G382" s="510"/>
      <c r="H382" s="510"/>
      <c r="I382" s="670"/>
      <c r="J382" s="510"/>
      <c r="K382" s="528"/>
    </row>
    <row r="383" spans="1:11" ht="14.25" customHeight="1">
      <c r="A383" s="625"/>
      <c r="B383" s="676" t="s">
        <v>375</v>
      </c>
      <c r="C383" s="697" t="s">
        <v>128</v>
      </c>
      <c r="D383" s="659">
        <v>0</v>
      </c>
      <c r="E383" s="658"/>
      <c r="F383" s="659"/>
      <c r="G383" s="658"/>
      <c r="H383" s="658"/>
      <c r="I383" s="659"/>
      <c r="J383" s="658"/>
      <c r="K383" s="528"/>
    </row>
    <row r="384" spans="1:11" ht="14.25" customHeight="1">
      <c r="A384" s="625"/>
      <c r="B384" s="604" t="s">
        <v>376</v>
      </c>
      <c r="C384" s="605"/>
      <c r="D384" s="670">
        <v>0</v>
      </c>
      <c r="E384" s="510"/>
      <c r="F384" s="670"/>
      <c r="G384" s="510"/>
      <c r="H384" s="510"/>
      <c r="I384" s="670"/>
      <c r="J384" s="510"/>
      <c r="K384" s="528"/>
    </row>
    <row r="385" spans="1:11" ht="14.25" customHeight="1">
      <c r="A385" s="625"/>
      <c r="B385" s="676" t="s">
        <v>377</v>
      </c>
      <c r="C385" s="697" t="s">
        <v>129</v>
      </c>
      <c r="D385" s="659">
        <v>0</v>
      </c>
      <c r="E385" s="683"/>
      <c r="F385" s="742"/>
      <c r="G385" s="683"/>
      <c r="H385" s="683"/>
      <c r="I385" s="742"/>
      <c r="J385" s="683"/>
      <c r="K385" s="528"/>
    </row>
    <row r="386" spans="1:11" ht="14.25" customHeight="1">
      <c r="A386" s="625"/>
      <c r="B386" s="604" t="s">
        <v>378</v>
      </c>
      <c r="C386" s="605"/>
      <c r="D386" s="670">
        <v>0</v>
      </c>
      <c r="E386" s="526"/>
      <c r="F386" s="526"/>
      <c r="G386" s="526"/>
      <c r="H386" s="526"/>
      <c r="I386" s="526"/>
      <c r="J386" s="526"/>
      <c r="K386" s="528"/>
    </row>
    <row r="387" spans="1:11" ht="14.25" customHeight="1">
      <c r="A387" s="625"/>
      <c r="B387" s="604" t="s">
        <v>379</v>
      </c>
      <c r="C387" s="605"/>
      <c r="D387" s="670">
        <v>0</v>
      </c>
      <c r="E387" s="534"/>
      <c r="F387" s="510"/>
      <c r="G387" s="534"/>
      <c r="H387" s="510"/>
      <c r="I387" s="510"/>
      <c r="J387" s="534"/>
      <c r="K387" s="528"/>
    </row>
    <row r="388" spans="1:11" ht="14.25" customHeight="1">
      <c r="A388" s="528"/>
      <c r="B388" s="499">
        <v>7</v>
      </c>
      <c r="C388" s="500" t="s">
        <v>131</v>
      </c>
      <c r="D388" s="740">
        <f>D389+D390+D391+D392+D393+D394+D395+D396+D397+D398+D399+D400+D401+D402+D403+D404+D405+D406+D407+D408+D409</f>
        <v>4800</v>
      </c>
      <c r="E388" s="740"/>
      <c r="F388" s="740">
        <f>F406+F407+F408+F409</f>
        <v>4800</v>
      </c>
      <c r="G388" s="740"/>
      <c r="H388" s="740"/>
      <c r="I388" s="740">
        <f t="shared" ref="I388" si="27">I406+I407+I408+I409</f>
        <v>4800</v>
      </c>
      <c r="J388" s="740"/>
      <c r="K388" s="528"/>
    </row>
    <row r="389" spans="1:11" ht="14.25" customHeight="1">
      <c r="A389" s="528"/>
      <c r="B389" s="604" t="s">
        <v>380</v>
      </c>
      <c r="C389" s="605" t="s">
        <v>381</v>
      </c>
      <c r="D389" s="670">
        <v>0</v>
      </c>
      <c r="E389" s="534"/>
      <c r="F389" s="510"/>
      <c r="G389" s="534"/>
      <c r="H389" s="510"/>
      <c r="I389" s="510"/>
      <c r="J389" s="534"/>
      <c r="K389" s="528"/>
    </row>
    <row r="390" spans="1:11" ht="14.25" customHeight="1">
      <c r="A390" s="528"/>
      <c r="B390" s="604" t="s">
        <v>382</v>
      </c>
      <c r="C390" s="605" t="s">
        <v>383</v>
      </c>
      <c r="D390" s="670">
        <v>0</v>
      </c>
      <c r="E390" s="534"/>
      <c r="F390" s="510"/>
      <c r="G390" s="534"/>
      <c r="H390" s="510"/>
      <c r="I390" s="510"/>
      <c r="J390" s="534"/>
      <c r="K390" s="528"/>
    </row>
    <row r="391" spans="1:11" ht="14.25" customHeight="1">
      <c r="A391" s="528"/>
      <c r="B391" s="604" t="s">
        <v>384</v>
      </c>
      <c r="C391" s="605" t="s">
        <v>133</v>
      </c>
      <c r="D391" s="670">
        <v>0</v>
      </c>
      <c r="E391" s="534"/>
      <c r="F391" s="510"/>
      <c r="G391" s="534"/>
      <c r="H391" s="510"/>
      <c r="I391" s="510"/>
      <c r="J391" s="534"/>
      <c r="K391" s="528"/>
    </row>
    <row r="392" spans="1:11" ht="14.25" customHeight="1">
      <c r="A392" s="528"/>
      <c r="B392" s="604" t="s">
        <v>385</v>
      </c>
      <c r="C392" s="605" t="s">
        <v>134</v>
      </c>
      <c r="D392" s="670">
        <v>0</v>
      </c>
      <c r="E392" s="534"/>
      <c r="F392" s="510"/>
      <c r="G392" s="534"/>
      <c r="H392" s="510"/>
      <c r="I392" s="510"/>
      <c r="J392" s="534"/>
      <c r="K392" s="528"/>
    </row>
    <row r="393" spans="1:11" ht="14.25" customHeight="1">
      <c r="A393" s="528"/>
      <c r="B393" s="604" t="s">
        <v>386</v>
      </c>
      <c r="C393" s="605" t="s">
        <v>387</v>
      </c>
      <c r="D393" s="670">
        <v>0</v>
      </c>
      <c r="E393" s="534"/>
      <c r="F393" s="510"/>
      <c r="G393" s="534"/>
      <c r="H393" s="510"/>
      <c r="I393" s="510"/>
      <c r="J393" s="534"/>
      <c r="K393" s="528"/>
    </row>
    <row r="394" spans="1:11" ht="14.25" customHeight="1">
      <c r="A394" s="528"/>
      <c r="B394" s="604" t="s">
        <v>388</v>
      </c>
      <c r="C394" s="605" t="s">
        <v>136</v>
      </c>
      <c r="D394" s="670">
        <v>0</v>
      </c>
      <c r="E394" s="534"/>
      <c r="F394" s="510"/>
      <c r="G394" s="534"/>
      <c r="H394" s="510"/>
      <c r="I394" s="510"/>
      <c r="J394" s="534"/>
      <c r="K394" s="528"/>
    </row>
    <row r="395" spans="1:11" ht="14.25" customHeight="1">
      <c r="A395" s="528"/>
      <c r="B395" s="604" t="s">
        <v>390</v>
      </c>
      <c r="C395" s="605" t="s">
        <v>391</v>
      </c>
      <c r="D395" s="670">
        <v>0</v>
      </c>
      <c r="E395" s="534"/>
      <c r="F395" s="510"/>
      <c r="G395" s="534"/>
      <c r="H395" s="510"/>
      <c r="I395" s="510"/>
      <c r="J395" s="534"/>
      <c r="K395" s="528"/>
    </row>
    <row r="396" spans="1:11" ht="14.25" customHeight="1">
      <c r="A396" s="528"/>
      <c r="B396" s="604" t="s">
        <v>392</v>
      </c>
      <c r="C396" s="605" t="s">
        <v>137</v>
      </c>
      <c r="D396" s="670">
        <v>0</v>
      </c>
      <c r="E396" s="534"/>
      <c r="F396" s="510"/>
      <c r="G396" s="534"/>
      <c r="H396" s="510"/>
      <c r="I396" s="510"/>
      <c r="J396" s="534"/>
      <c r="K396" s="528"/>
    </row>
    <row r="397" spans="1:11" ht="14.25" customHeight="1">
      <c r="A397" s="528"/>
      <c r="B397" s="604" t="s">
        <v>393</v>
      </c>
      <c r="C397" s="605" t="s">
        <v>138</v>
      </c>
      <c r="D397" s="670">
        <v>0</v>
      </c>
      <c r="E397" s="534"/>
      <c r="F397" s="510"/>
      <c r="G397" s="534"/>
      <c r="H397" s="510"/>
      <c r="I397" s="510"/>
      <c r="J397" s="534"/>
      <c r="K397" s="528"/>
    </row>
    <row r="398" spans="1:11" ht="14.25" customHeight="1">
      <c r="A398" s="528"/>
      <c r="B398" s="604" t="s">
        <v>394</v>
      </c>
      <c r="C398" s="605" t="s">
        <v>395</v>
      </c>
      <c r="D398" s="670">
        <v>0</v>
      </c>
      <c r="E398" s="534"/>
      <c r="F398" s="510"/>
      <c r="G398" s="534"/>
      <c r="H398" s="510"/>
      <c r="I398" s="510"/>
      <c r="J398" s="534"/>
      <c r="K398" s="528"/>
    </row>
    <row r="399" spans="1:11" ht="14.25" customHeight="1">
      <c r="A399" s="528"/>
      <c r="B399" s="604" t="s">
        <v>396</v>
      </c>
      <c r="C399" s="605" t="s">
        <v>139</v>
      </c>
      <c r="D399" s="670">
        <v>0</v>
      </c>
      <c r="E399" s="534"/>
      <c r="F399" s="510"/>
      <c r="G399" s="534"/>
      <c r="H399" s="510"/>
      <c r="I399" s="510"/>
      <c r="J399" s="534"/>
      <c r="K399" s="528"/>
    </row>
    <row r="400" spans="1:11" ht="14.25" customHeight="1">
      <c r="A400" s="528"/>
      <c r="B400" s="604" t="s">
        <v>397</v>
      </c>
      <c r="C400" s="605" t="s">
        <v>398</v>
      </c>
      <c r="D400" s="670">
        <v>0</v>
      </c>
      <c r="E400" s="534"/>
      <c r="F400" s="510"/>
      <c r="G400" s="534"/>
      <c r="H400" s="510"/>
      <c r="I400" s="510"/>
      <c r="J400" s="534"/>
      <c r="K400" s="528"/>
    </row>
    <row r="401" spans="1:11" ht="14.25" customHeight="1">
      <c r="A401" s="528"/>
      <c r="B401" s="604" t="s">
        <v>141</v>
      </c>
      <c r="C401" s="605" t="s">
        <v>399</v>
      </c>
      <c r="D401" s="670">
        <v>0</v>
      </c>
      <c r="E401" s="534"/>
      <c r="F401" s="510"/>
      <c r="G401" s="534"/>
      <c r="H401" s="510"/>
      <c r="I401" s="510"/>
      <c r="J401" s="534"/>
      <c r="K401" s="528"/>
    </row>
    <row r="402" spans="1:11" ht="14.25" customHeight="1">
      <c r="A402" s="528"/>
      <c r="B402" s="604" t="s">
        <v>143</v>
      </c>
      <c r="C402" s="605" t="s">
        <v>144</v>
      </c>
      <c r="D402" s="670">
        <v>0</v>
      </c>
      <c r="E402" s="534"/>
      <c r="F402" s="510"/>
      <c r="G402" s="534"/>
      <c r="H402" s="510"/>
      <c r="I402" s="510"/>
      <c r="J402" s="534"/>
      <c r="K402" s="528"/>
    </row>
    <row r="403" spans="1:11" ht="14.25" customHeight="1">
      <c r="A403" s="528"/>
      <c r="B403" s="604" t="s">
        <v>145</v>
      </c>
      <c r="C403" s="605" t="s">
        <v>146</v>
      </c>
      <c r="D403" s="670">
        <v>0</v>
      </c>
      <c r="E403" s="534"/>
      <c r="F403" s="510"/>
      <c r="G403" s="534"/>
      <c r="H403" s="510"/>
      <c r="I403" s="510"/>
      <c r="J403" s="534"/>
      <c r="K403" s="528"/>
    </row>
    <row r="404" spans="1:11" ht="14.25" customHeight="1">
      <c r="A404" s="528"/>
      <c r="B404" s="604" t="s">
        <v>147</v>
      </c>
      <c r="C404" s="605" t="s">
        <v>148</v>
      </c>
      <c r="D404" s="670">
        <v>0</v>
      </c>
      <c r="E404" s="526"/>
      <c r="F404" s="526"/>
      <c r="G404" s="526"/>
      <c r="H404" s="526"/>
      <c r="I404" s="526"/>
      <c r="J404" s="526"/>
      <c r="K404" s="528"/>
    </row>
    <row r="405" spans="1:11" ht="14.25" customHeight="1">
      <c r="A405" s="528"/>
      <c r="B405" s="604" t="s">
        <v>149</v>
      </c>
      <c r="C405" s="605" t="s">
        <v>404</v>
      </c>
      <c r="D405" s="670">
        <v>0</v>
      </c>
      <c r="E405" s="534"/>
      <c r="F405" s="510"/>
      <c r="G405" s="534"/>
      <c r="H405" s="510"/>
      <c r="I405" s="510"/>
      <c r="J405" s="534"/>
      <c r="K405" s="528"/>
    </row>
    <row r="406" spans="1:11" s="494" customFormat="1" ht="225" customHeight="1">
      <c r="A406" s="519"/>
      <c r="B406" s="600" t="s">
        <v>151</v>
      </c>
      <c r="C406" s="601" t="s">
        <v>152</v>
      </c>
      <c r="D406" s="664">
        <v>4800</v>
      </c>
      <c r="E406" s="504" t="s">
        <v>484</v>
      </c>
      <c r="F406" s="601">
        <v>4800</v>
      </c>
      <c r="G406" s="504" t="s">
        <v>864</v>
      </c>
      <c r="H406" s="601" t="s">
        <v>825</v>
      </c>
      <c r="I406" s="601">
        <f>4800</f>
        <v>4800</v>
      </c>
      <c r="J406" s="504" t="s">
        <v>754</v>
      </c>
      <c r="K406" s="519"/>
    </row>
    <row r="407" spans="1:11" ht="14.25" customHeight="1">
      <c r="A407" s="528"/>
      <c r="B407" s="604" t="s">
        <v>153</v>
      </c>
      <c r="C407" s="605" t="s">
        <v>154</v>
      </c>
      <c r="D407" s="670">
        <v>0</v>
      </c>
      <c r="E407" s="534"/>
      <c r="F407" s="510"/>
      <c r="G407" s="534"/>
      <c r="H407" s="510"/>
      <c r="I407" s="510"/>
      <c r="J407" s="534"/>
      <c r="K407" s="528"/>
    </row>
    <row r="408" spans="1:11" ht="14.25" customHeight="1">
      <c r="A408" s="528"/>
      <c r="B408" s="604" t="s">
        <v>155</v>
      </c>
      <c r="C408" s="605" t="s">
        <v>156</v>
      </c>
      <c r="D408" s="670">
        <v>0</v>
      </c>
      <c r="E408" s="526"/>
      <c r="F408" s="526"/>
      <c r="G408" s="526"/>
      <c r="H408" s="526"/>
      <c r="I408" s="526"/>
      <c r="J408" s="526"/>
      <c r="K408" s="528"/>
    </row>
    <row r="409" spans="1:11" ht="14.25" customHeight="1">
      <c r="A409" s="528"/>
      <c r="B409" s="604" t="s">
        <v>157</v>
      </c>
      <c r="C409" s="678" t="s">
        <v>406</v>
      </c>
      <c r="D409" s="670">
        <v>0</v>
      </c>
      <c r="E409" s="534"/>
      <c r="F409" s="510"/>
      <c r="G409" s="534"/>
      <c r="H409" s="510"/>
      <c r="I409" s="510"/>
      <c r="J409" s="534"/>
      <c r="K409" s="528"/>
    </row>
    <row r="410" spans="1:11" ht="14.25" customHeight="1">
      <c r="A410" s="528"/>
      <c r="B410" s="499">
        <v>8</v>
      </c>
      <c r="C410" s="703" t="s">
        <v>159</v>
      </c>
      <c r="D410" s="658">
        <f>D411+D412+D413+D414+D415</f>
        <v>0</v>
      </c>
      <c r="E410" s="658">
        <v>0</v>
      </c>
      <c r="F410" s="658">
        <v>0</v>
      </c>
      <c r="G410" s="658">
        <f>G411+G412+G413+G416+G415</f>
        <v>0</v>
      </c>
      <c r="H410" s="658">
        <f>H411+H412+H413+H416+H415</f>
        <v>0</v>
      </c>
      <c r="I410" s="658">
        <v>0</v>
      </c>
      <c r="J410" s="658">
        <f>J411+J412+J413+J416+J415</f>
        <v>0</v>
      </c>
      <c r="K410" s="528"/>
    </row>
    <row r="411" spans="1:11" ht="14.25" customHeight="1">
      <c r="A411" s="528"/>
      <c r="B411" s="604" t="s">
        <v>407</v>
      </c>
      <c r="C411" s="605" t="s">
        <v>160</v>
      </c>
      <c r="D411" s="510">
        <v>0</v>
      </c>
      <c r="E411" s="534"/>
      <c r="F411" s="510"/>
      <c r="G411" s="534"/>
      <c r="H411" s="510"/>
      <c r="I411" s="510"/>
      <c r="J411" s="534"/>
      <c r="K411" s="528"/>
    </row>
    <row r="412" spans="1:11" ht="14.25" customHeight="1">
      <c r="A412" s="528"/>
      <c r="B412" s="604" t="s">
        <v>408</v>
      </c>
      <c r="C412" s="605" t="s">
        <v>162</v>
      </c>
      <c r="D412" s="510">
        <v>0</v>
      </c>
      <c r="E412" s="534"/>
      <c r="F412" s="510"/>
      <c r="G412" s="534"/>
      <c r="H412" s="510"/>
      <c r="I412" s="510"/>
      <c r="J412" s="534"/>
      <c r="K412" s="528"/>
    </row>
    <row r="413" spans="1:11" ht="14.25" customHeight="1">
      <c r="A413" s="528"/>
      <c r="B413" s="604" t="s">
        <v>409</v>
      </c>
      <c r="C413" s="605" t="s">
        <v>410</v>
      </c>
      <c r="D413" s="510">
        <v>0</v>
      </c>
      <c r="E413" s="534"/>
      <c r="F413" s="510"/>
      <c r="G413" s="534"/>
      <c r="H413" s="510"/>
      <c r="I413" s="510"/>
      <c r="J413" s="534"/>
      <c r="K413" s="528"/>
    </row>
    <row r="414" spans="1:11" ht="14.25" customHeight="1">
      <c r="A414" s="528"/>
      <c r="B414" s="604" t="s">
        <v>411</v>
      </c>
      <c r="C414" s="605" t="s">
        <v>164</v>
      </c>
      <c r="D414" s="510">
        <v>0</v>
      </c>
      <c r="E414" s="526"/>
      <c r="F414" s="526"/>
      <c r="G414" s="526"/>
      <c r="H414" s="526"/>
      <c r="I414" s="526"/>
      <c r="J414" s="526"/>
      <c r="K414" s="528"/>
    </row>
    <row r="415" spans="1:11" ht="14.25" customHeight="1">
      <c r="A415" s="528"/>
      <c r="B415" s="604" t="s">
        <v>412</v>
      </c>
      <c r="C415" s="678" t="s">
        <v>165</v>
      </c>
      <c r="D415" s="510">
        <v>0</v>
      </c>
      <c r="E415" s="685"/>
      <c r="F415" s="605"/>
      <c r="G415" s="685"/>
      <c r="H415" s="605"/>
      <c r="I415" s="605"/>
      <c r="J415" s="685"/>
      <c r="K415" s="528"/>
    </row>
    <row r="416" spans="1:11" ht="14.25" customHeight="1">
      <c r="A416" s="528"/>
      <c r="B416" s="499">
        <v>9</v>
      </c>
      <c r="C416" s="500" t="s">
        <v>167</v>
      </c>
      <c r="D416" s="501">
        <f>D419+D420+D421+D422+D423+D424+D425+D426+D427+D428+D429+D430</f>
        <v>58000</v>
      </c>
      <c r="E416" s="501"/>
      <c r="F416" s="501">
        <f t="shared" ref="F416:I416" si="28">F419+F420+F421+F422+F423+F424+F425+F426+F427+F428+F429+F430</f>
        <v>46000</v>
      </c>
      <c r="G416" s="501"/>
      <c r="H416" s="501"/>
      <c r="I416" s="501">
        <f t="shared" si="28"/>
        <v>46000</v>
      </c>
      <c r="J416" s="501"/>
      <c r="K416" s="528"/>
    </row>
    <row r="417" spans="1:11" s="491" customFormat="1" ht="95.25" customHeight="1">
      <c r="A417" s="640"/>
      <c r="B417" s="705">
        <v>43839</v>
      </c>
      <c r="C417" s="605" t="s">
        <v>413</v>
      </c>
      <c r="D417" s="605">
        <v>0</v>
      </c>
      <c r="E417" s="504" t="s">
        <v>415</v>
      </c>
      <c r="F417" s="601"/>
      <c r="G417" s="504" t="s">
        <v>868</v>
      </c>
      <c r="H417" s="601" t="s">
        <v>760</v>
      </c>
      <c r="I417" s="601"/>
      <c r="J417" s="504" t="s">
        <v>761</v>
      </c>
      <c r="K417" s="640"/>
    </row>
    <row r="418" spans="1:11" ht="14.25" customHeight="1">
      <c r="A418" s="528"/>
      <c r="B418" s="705">
        <v>43870</v>
      </c>
      <c r="C418" s="605" t="s">
        <v>169</v>
      </c>
      <c r="D418" s="510">
        <v>0</v>
      </c>
      <c r="E418" s="743"/>
      <c r="F418" s="507">
        <v>0</v>
      </c>
      <c r="G418" s="743"/>
      <c r="H418" s="507"/>
      <c r="I418" s="507">
        <v>0</v>
      </c>
      <c r="J418" s="743"/>
      <c r="K418" s="528"/>
    </row>
    <row r="419" spans="1:11" s="530" customFormat="1" ht="161.25" customHeight="1">
      <c r="A419" s="642"/>
      <c r="B419" s="744">
        <v>44264</v>
      </c>
      <c r="C419" s="601" t="s">
        <v>170</v>
      </c>
      <c r="D419" s="601">
        <v>7000</v>
      </c>
      <c r="E419" s="504" t="s">
        <v>415</v>
      </c>
      <c r="F419" s="601">
        <v>8000</v>
      </c>
      <c r="G419" s="504" t="s">
        <v>868</v>
      </c>
      <c r="H419" s="601" t="s">
        <v>760</v>
      </c>
      <c r="I419" s="601">
        <v>8000</v>
      </c>
      <c r="J419" s="504" t="s">
        <v>761</v>
      </c>
      <c r="K419" s="642"/>
    </row>
    <row r="420" spans="1:11" s="498" customFormat="1" ht="30.75" customHeight="1">
      <c r="A420" s="643">
        <v>44295</v>
      </c>
      <c r="B420" s="745">
        <v>44295</v>
      </c>
      <c r="C420" s="746" t="s">
        <v>414</v>
      </c>
      <c r="D420" s="507">
        <v>0</v>
      </c>
      <c r="E420" s="531"/>
      <c r="F420" s="531">
        <v>0</v>
      </c>
      <c r="G420" s="531"/>
      <c r="H420" s="531"/>
      <c r="I420" s="531">
        <v>0</v>
      </c>
      <c r="J420" s="531"/>
      <c r="K420" s="647"/>
    </row>
    <row r="421" spans="1:11" ht="38.25" customHeight="1">
      <c r="A421" s="502">
        <v>44325</v>
      </c>
      <c r="B421" s="705">
        <v>44325</v>
      </c>
      <c r="C421" s="605" t="s">
        <v>172</v>
      </c>
      <c r="D421" s="510">
        <v>0</v>
      </c>
      <c r="E421" s="534"/>
      <c r="F421" s="510"/>
      <c r="G421" s="534"/>
      <c r="H421" s="510"/>
      <c r="I421" s="510"/>
      <c r="J421" s="534"/>
      <c r="K421" s="528"/>
    </row>
    <row r="422" spans="1:11" s="491" customFormat="1" ht="147" customHeight="1">
      <c r="A422" s="644">
        <v>44356</v>
      </c>
      <c r="B422" s="705">
        <v>44356</v>
      </c>
      <c r="C422" s="605" t="s">
        <v>173</v>
      </c>
      <c r="D422" s="605">
        <v>13000</v>
      </c>
      <c r="E422" s="685"/>
      <c r="F422" s="605">
        <v>0</v>
      </c>
      <c r="G422" s="685"/>
      <c r="H422" s="605"/>
      <c r="I422" s="605">
        <v>0</v>
      </c>
      <c r="J422" s="685"/>
      <c r="K422" s="640"/>
    </row>
    <row r="423" spans="1:11" ht="14.25" customHeight="1">
      <c r="A423" s="502">
        <v>44386</v>
      </c>
      <c r="B423" s="705">
        <v>44386</v>
      </c>
      <c r="C423" s="605" t="s">
        <v>174</v>
      </c>
      <c r="D423" s="510">
        <v>0</v>
      </c>
      <c r="E423" s="534"/>
      <c r="F423" s="510"/>
      <c r="G423" s="534"/>
      <c r="H423" s="510"/>
      <c r="I423" s="510"/>
      <c r="J423" s="534"/>
      <c r="K423" s="528"/>
    </row>
    <row r="424" spans="1:11" ht="14.25" customHeight="1">
      <c r="A424" s="502">
        <v>44417</v>
      </c>
      <c r="B424" s="705">
        <v>44417</v>
      </c>
      <c r="C424" s="605" t="s">
        <v>418</v>
      </c>
      <c r="D424" s="510">
        <v>0</v>
      </c>
      <c r="E424" s="526"/>
      <c r="F424" s="526"/>
      <c r="G424" s="526"/>
      <c r="H424" s="526"/>
      <c r="I424" s="526"/>
      <c r="J424" s="526"/>
      <c r="K424" s="528"/>
    </row>
    <row r="425" spans="1:11" ht="14.25" customHeight="1">
      <c r="A425" s="502">
        <v>44448</v>
      </c>
      <c r="B425" s="705">
        <v>44448</v>
      </c>
      <c r="C425" s="605" t="s">
        <v>175</v>
      </c>
      <c r="D425" s="510">
        <v>0</v>
      </c>
      <c r="E425" s="526"/>
      <c r="F425" s="526"/>
      <c r="G425" s="526"/>
      <c r="H425" s="526"/>
      <c r="I425" s="526"/>
      <c r="J425" s="526"/>
      <c r="K425" s="528"/>
    </row>
    <row r="426" spans="1:11" s="494" customFormat="1" ht="162" customHeight="1">
      <c r="A426" s="633">
        <v>44478</v>
      </c>
      <c r="B426" s="503">
        <v>44478</v>
      </c>
      <c r="C426" s="601" t="s">
        <v>176</v>
      </c>
      <c r="D426" s="601">
        <v>18000</v>
      </c>
      <c r="E426" s="504" t="s">
        <v>785</v>
      </c>
      <c r="F426" s="601">
        <v>18000</v>
      </c>
      <c r="G426" s="504" t="s">
        <v>783</v>
      </c>
      <c r="H426" s="601" t="s">
        <v>784</v>
      </c>
      <c r="I426" s="601">
        <v>18000</v>
      </c>
      <c r="J426" s="504" t="s">
        <v>828</v>
      </c>
      <c r="K426" s="519"/>
    </row>
    <row r="427" spans="1:11" s="494" customFormat="1" ht="99.75" customHeight="1">
      <c r="A427" s="633">
        <v>44509</v>
      </c>
      <c r="B427" s="503">
        <v>44509</v>
      </c>
      <c r="C427" s="601" t="s">
        <v>177</v>
      </c>
      <c r="D427" s="601">
        <v>20000</v>
      </c>
      <c r="E427" s="504" t="s">
        <v>789</v>
      </c>
      <c r="F427" s="601">
        <v>20000</v>
      </c>
      <c r="G427" s="504" t="s">
        <v>1046</v>
      </c>
      <c r="H427" s="601" t="s">
        <v>787</v>
      </c>
      <c r="I427" s="601">
        <v>20000</v>
      </c>
      <c r="J427" s="504" t="s">
        <v>788</v>
      </c>
      <c r="K427" s="519"/>
    </row>
    <row r="428" spans="1:11" ht="27.75" customHeight="1">
      <c r="A428" s="532" t="s">
        <v>420</v>
      </c>
      <c r="B428" s="604" t="s">
        <v>420</v>
      </c>
      <c r="C428" s="605"/>
      <c r="D428" s="533"/>
      <c r="E428" s="534"/>
      <c r="F428" s="510"/>
      <c r="G428" s="534"/>
      <c r="H428" s="510"/>
      <c r="I428" s="510"/>
      <c r="J428" s="534"/>
      <c r="K428" s="528"/>
    </row>
    <row r="429" spans="1:11" ht="33.75" customHeight="1">
      <c r="A429" s="508" t="s">
        <v>179</v>
      </c>
      <c r="B429" s="706" t="s">
        <v>179</v>
      </c>
      <c r="C429" s="605"/>
      <c r="D429" s="510"/>
      <c r="E429" s="526"/>
      <c r="F429" s="526"/>
      <c r="G429" s="526"/>
      <c r="H429" s="526"/>
      <c r="I429" s="526"/>
      <c r="J429" s="526"/>
      <c r="K429" s="528"/>
    </row>
    <row r="430" spans="1:11" ht="14.25" customHeight="1">
      <c r="A430" s="508" t="s">
        <v>181</v>
      </c>
      <c r="B430" s="706" t="s">
        <v>181</v>
      </c>
      <c r="C430" s="678" t="s">
        <v>182</v>
      </c>
      <c r="D430" s="510">
        <v>0</v>
      </c>
      <c r="E430" s="534"/>
      <c r="F430" s="510"/>
      <c r="G430" s="534"/>
      <c r="H430" s="510"/>
      <c r="I430" s="510"/>
      <c r="J430" s="534"/>
      <c r="K430" s="528"/>
    </row>
    <row r="431" spans="1:11" ht="14.25" customHeight="1">
      <c r="A431" s="528"/>
      <c r="B431" s="499">
        <v>10</v>
      </c>
      <c r="C431" s="703" t="s">
        <v>183</v>
      </c>
      <c r="D431" s="501">
        <f>D433+D434</f>
        <v>25000</v>
      </c>
      <c r="E431" s="501"/>
      <c r="F431" s="501">
        <f t="shared" ref="F431:I431" si="29">F433+F434</f>
        <v>25000</v>
      </c>
      <c r="G431" s="501"/>
      <c r="H431" s="501"/>
      <c r="I431" s="501">
        <f t="shared" si="29"/>
        <v>25000</v>
      </c>
      <c r="J431" s="501"/>
      <c r="K431" s="528"/>
    </row>
    <row r="432" spans="1:11" ht="14.25" customHeight="1">
      <c r="A432" s="528"/>
      <c r="B432" s="705">
        <v>43840</v>
      </c>
      <c r="C432" s="747" t="s">
        <v>422</v>
      </c>
      <c r="D432" s="510">
        <v>0</v>
      </c>
      <c r="E432" s="526"/>
      <c r="F432" s="526"/>
      <c r="G432" s="526"/>
      <c r="H432" s="526"/>
      <c r="I432" s="526"/>
      <c r="J432" s="526"/>
      <c r="K432" s="528"/>
    </row>
    <row r="433" spans="1:11" ht="14.25" customHeight="1">
      <c r="A433" s="528"/>
      <c r="B433" s="705">
        <v>43871</v>
      </c>
      <c r="C433" s="605" t="s">
        <v>184</v>
      </c>
      <c r="D433" s="510">
        <v>0</v>
      </c>
      <c r="E433" s="534"/>
      <c r="F433" s="510"/>
      <c r="G433" s="534"/>
      <c r="H433" s="510"/>
      <c r="I433" s="510"/>
      <c r="J433" s="534"/>
      <c r="K433" s="528"/>
    </row>
    <row r="434" spans="1:11" s="494" customFormat="1" ht="207.75" customHeight="1">
      <c r="A434" s="519"/>
      <c r="B434" s="503">
        <v>43900</v>
      </c>
      <c r="C434" s="601" t="s">
        <v>185</v>
      </c>
      <c r="D434" s="601">
        <v>25000</v>
      </c>
      <c r="E434" s="504" t="s">
        <v>560</v>
      </c>
      <c r="F434" s="601">
        <v>25000</v>
      </c>
      <c r="G434" s="504" t="s">
        <v>879</v>
      </c>
      <c r="H434" s="601" t="s">
        <v>796</v>
      </c>
      <c r="I434" s="601">
        <v>25000</v>
      </c>
      <c r="J434" s="504" t="s">
        <v>797</v>
      </c>
      <c r="K434" s="519"/>
    </row>
    <row r="435" spans="1:11" ht="14.25" customHeight="1">
      <c r="A435" s="528"/>
      <c r="B435" s="705">
        <v>43931</v>
      </c>
      <c r="C435" s="678" t="s">
        <v>186</v>
      </c>
      <c r="D435" s="510">
        <v>0</v>
      </c>
      <c r="E435" s="534"/>
      <c r="F435" s="510"/>
      <c r="G435" s="534"/>
      <c r="H435" s="510"/>
      <c r="I435" s="510"/>
      <c r="J435" s="534"/>
      <c r="K435" s="528"/>
    </row>
    <row r="436" spans="1:11" ht="14.25" customHeight="1">
      <c r="A436" s="511"/>
      <c r="B436" s="499">
        <v>12</v>
      </c>
      <c r="C436" s="500" t="s">
        <v>190</v>
      </c>
      <c r="D436" s="501">
        <f>D437+D438+D439</f>
        <v>0</v>
      </c>
      <c r="E436" s="684"/>
      <c r="F436" s="683"/>
      <c r="G436" s="684"/>
      <c r="H436" s="683"/>
      <c r="I436" s="683"/>
      <c r="J436" s="684"/>
      <c r="K436" s="528"/>
    </row>
    <row r="437" spans="1:11" ht="102.75" customHeight="1">
      <c r="A437" s="528"/>
      <c r="B437" s="705">
        <v>43842</v>
      </c>
      <c r="C437" s="605" t="s">
        <v>423</v>
      </c>
      <c r="D437" s="510">
        <v>0</v>
      </c>
      <c r="E437" s="534"/>
      <c r="F437" s="510"/>
      <c r="G437" s="534"/>
      <c r="H437" s="510"/>
      <c r="I437" s="510"/>
      <c r="J437" s="534"/>
      <c r="K437" s="528"/>
    </row>
    <row r="438" spans="1:11" ht="14.25" customHeight="1">
      <c r="A438" s="528"/>
      <c r="B438" s="705">
        <v>43873</v>
      </c>
      <c r="C438" s="605" t="s">
        <v>192</v>
      </c>
      <c r="D438" s="510">
        <v>0</v>
      </c>
      <c r="E438" s="526"/>
      <c r="F438" s="526"/>
      <c r="G438" s="526"/>
      <c r="H438" s="526"/>
      <c r="I438" s="526"/>
      <c r="J438" s="526"/>
      <c r="K438" s="528"/>
    </row>
    <row r="439" spans="1:11" ht="14.25" customHeight="1">
      <c r="A439" s="528"/>
      <c r="B439" s="705">
        <v>44267</v>
      </c>
      <c r="C439" s="678" t="s">
        <v>193</v>
      </c>
      <c r="D439" s="510">
        <v>0</v>
      </c>
      <c r="E439" s="526"/>
      <c r="F439" s="526"/>
      <c r="G439" s="510"/>
      <c r="H439" s="510"/>
      <c r="I439" s="526"/>
      <c r="J439" s="526"/>
      <c r="K439" s="528"/>
    </row>
    <row r="440" spans="1:11" ht="14.25" customHeight="1">
      <c r="A440" s="528"/>
      <c r="B440" s="499">
        <v>13</v>
      </c>
      <c r="C440" s="500" t="s">
        <v>195</v>
      </c>
      <c r="D440" s="501">
        <f>D441+D446+D451+D455</f>
        <v>141600</v>
      </c>
      <c r="E440" s="501"/>
      <c r="F440" s="501">
        <f>F455</f>
        <v>147317</v>
      </c>
      <c r="G440" s="501"/>
      <c r="H440" s="501"/>
      <c r="I440" s="501">
        <f t="shared" ref="I440:J440" si="30">I441+I446+I451+I455</f>
        <v>147317</v>
      </c>
      <c r="J440" s="501">
        <f t="shared" si="30"/>
        <v>0</v>
      </c>
      <c r="K440" s="528"/>
    </row>
    <row r="441" spans="1:11" ht="14.25" customHeight="1">
      <c r="A441" s="528"/>
      <c r="B441" s="616" t="s">
        <v>425</v>
      </c>
      <c r="C441" s="715" t="s">
        <v>196</v>
      </c>
      <c r="D441" s="618">
        <f>D442+D443+D445+D444</f>
        <v>0</v>
      </c>
      <c r="E441" s="618"/>
      <c r="F441" s="618">
        <v>0</v>
      </c>
      <c r="G441" s="618"/>
      <c r="H441" s="618"/>
      <c r="I441" s="618">
        <v>0</v>
      </c>
      <c r="J441" s="618"/>
      <c r="K441" s="528"/>
    </row>
    <row r="442" spans="1:11" ht="14.25" customHeight="1">
      <c r="A442" s="528"/>
      <c r="B442" s="604" t="s">
        <v>426</v>
      </c>
      <c r="C442" s="605" t="s">
        <v>197</v>
      </c>
      <c r="D442" s="510">
        <v>0</v>
      </c>
      <c r="E442" s="534"/>
      <c r="F442" s="510"/>
      <c r="G442" s="534"/>
      <c r="H442" s="510"/>
      <c r="I442" s="510"/>
      <c r="J442" s="534"/>
      <c r="K442" s="528"/>
    </row>
    <row r="443" spans="1:11" ht="14.25" customHeight="1">
      <c r="A443" s="528"/>
      <c r="B443" s="604" t="s">
        <v>427</v>
      </c>
      <c r="C443" s="605" t="s">
        <v>198</v>
      </c>
      <c r="D443" s="510">
        <v>0</v>
      </c>
      <c r="E443" s="534"/>
      <c r="F443" s="510"/>
      <c r="G443" s="534"/>
      <c r="H443" s="510"/>
      <c r="I443" s="510"/>
      <c r="J443" s="534"/>
      <c r="K443" s="528"/>
    </row>
    <row r="444" spans="1:11" ht="14.25" customHeight="1">
      <c r="A444" s="528"/>
      <c r="B444" s="604" t="s">
        <v>428</v>
      </c>
      <c r="C444" s="605" t="s">
        <v>199</v>
      </c>
      <c r="D444" s="510">
        <v>0</v>
      </c>
      <c r="E444" s="526"/>
      <c r="F444" s="526"/>
      <c r="G444" s="526"/>
      <c r="H444" s="526"/>
      <c r="I444" s="526"/>
      <c r="J444" s="526"/>
      <c r="K444" s="528"/>
    </row>
    <row r="445" spans="1:11" ht="14.25" customHeight="1">
      <c r="A445" s="528"/>
      <c r="B445" s="604" t="s">
        <v>429</v>
      </c>
      <c r="C445" s="605" t="s">
        <v>200</v>
      </c>
      <c r="D445" s="510">
        <v>0</v>
      </c>
      <c r="E445" s="534"/>
      <c r="F445" s="510"/>
      <c r="G445" s="534"/>
      <c r="H445" s="510"/>
      <c r="I445" s="510"/>
      <c r="J445" s="534"/>
      <c r="K445" s="528"/>
    </row>
    <row r="446" spans="1:11" ht="14.25" customHeight="1">
      <c r="A446" s="528"/>
      <c r="B446" s="616" t="s">
        <v>425</v>
      </c>
      <c r="C446" s="715" t="s">
        <v>201</v>
      </c>
      <c r="D446" s="618">
        <f>D447+D448+D449+D450</f>
        <v>0</v>
      </c>
      <c r="E446" s="618"/>
      <c r="F446" s="618">
        <v>0</v>
      </c>
      <c r="G446" s="618"/>
      <c r="H446" s="618"/>
      <c r="I446" s="618">
        <v>0</v>
      </c>
      <c r="J446" s="618"/>
      <c r="K446" s="528"/>
    </row>
    <row r="447" spans="1:11" ht="14.25" customHeight="1">
      <c r="A447" s="528"/>
      <c r="B447" s="604" t="s">
        <v>430</v>
      </c>
      <c r="C447" s="605" t="s">
        <v>431</v>
      </c>
      <c r="D447" s="510">
        <v>0</v>
      </c>
      <c r="E447" s="534"/>
      <c r="F447" s="510"/>
      <c r="G447" s="534"/>
      <c r="H447" s="510"/>
      <c r="I447" s="510"/>
      <c r="J447" s="534"/>
      <c r="K447" s="528"/>
    </row>
    <row r="448" spans="1:11" ht="14.25" customHeight="1">
      <c r="A448" s="528"/>
      <c r="B448" s="604" t="s">
        <v>432</v>
      </c>
      <c r="C448" s="605" t="s">
        <v>202</v>
      </c>
      <c r="D448" s="510">
        <v>0</v>
      </c>
      <c r="E448" s="534"/>
      <c r="F448" s="510"/>
      <c r="G448" s="534"/>
      <c r="H448" s="510"/>
      <c r="I448" s="510"/>
      <c r="J448" s="534"/>
      <c r="K448" s="528"/>
    </row>
    <row r="449" spans="1:11" ht="14.25" customHeight="1">
      <c r="A449" s="528"/>
      <c r="B449" s="604" t="s">
        <v>433</v>
      </c>
      <c r="C449" s="605" t="s">
        <v>203</v>
      </c>
      <c r="D449" s="510">
        <v>0</v>
      </c>
      <c r="E449" s="748"/>
      <c r="F449" s="748">
        <f t="shared" ref="F449:I451" si="31">F450+F451+F452</f>
        <v>0</v>
      </c>
      <c r="G449" s="748"/>
      <c r="H449" s="748"/>
      <c r="I449" s="748">
        <f t="shared" si="31"/>
        <v>0</v>
      </c>
      <c r="J449" s="748"/>
      <c r="K449" s="528"/>
    </row>
    <row r="450" spans="1:11" ht="14.25" customHeight="1">
      <c r="A450" s="528"/>
      <c r="B450" s="604" t="s">
        <v>434</v>
      </c>
      <c r="C450" s="678" t="s">
        <v>204</v>
      </c>
      <c r="D450" s="510">
        <v>0</v>
      </c>
      <c r="E450" s="534"/>
      <c r="F450" s="510"/>
      <c r="G450" s="534"/>
      <c r="H450" s="510"/>
      <c r="I450" s="510"/>
      <c r="J450" s="534"/>
      <c r="K450" s="528"/>
    </row>
    <row r="451" spans="1:11" ht="14.25" customHeight="1">
      <c r="A451" s="528"/>
      <c r="B451" s="616" t="s">
        <v>435</v>
      </c>
      <c r="C451" s="715" t="s">
        <v>205</v>
      </c>
      <c r="D451" s="751">
        <f>D452+D453+D454</f>
        <v>0</v>
      </c>
      <c r="E451" s="751"/>
      <c r="F451" s="751">
        <f t="shared" si="31"/>
        <v>0</v>
      </c>
      <c r="G451" s="751"/>
      <c r="H451" s="751"/>
      <c r="I451" s="751">
        <f t="shared" si="31"/>
        <v>0</v>
      </c>
      <c r="J451" s="751"/>
      <c r="K451" s="528"/>
    </row>
    <row r="452" spans="1:11" ht="14.25" customHeight="1">
      <c r="A452" s="528"/>
      <c r="B452" s="604" t="s">
        <v>436</v>
      </c>
      <c r="C452" s="605" t="s">
        <v>206</v>
      </c>
      <c r="D452" s="510">
        <v>0</v>
      </c>
      <c r="E452" s="534"/>
      <c r="F452" s="510"/>
      <c r="G452" s="534"/>
      <c r="H452" s="510"/>
      <c r="I452" s="510"/>
      <c r="J452" s="534"/>
      <c r="K452" s="528"/>
    </row>
    <row r="453" spans="1:11" ht="14.25" customHeight="1">
      <c r="A453" s="528"/>
      <c r="B453" s="604" t="s">
        <v>437</v>
      </c>
      <c r="C453" s="605" t="s">
        <v>206</v>
      </c>
      <c r="D453" s="510">
        <v>0</v>
      </c>
      <c r="E453" s="526"/>
      <c r="F453" s="526"/>
      <c r="G453" s="526"/>
      <c r="H453" s="526"/>
      <c r="I453" s="526"/>
      <c r="J453" s="526"/>
      <c r="K453" s="528"/>
    </row>
    <row r="454" spans="1:11" ht="14.25" customHeight="1">
      <c r="A454" s="528"/>
      <c r="B454" s="604" t="s">
        <v>438</v>
      </c>
      <c r="C454" s="605" t="s">
        <v>206</v>
      </c>
      <c r="D454" s="510">
        <v>0</v>
      </c>
      <c r="E454" s="534"/>
      <c r="F454" s="510"/>
      <c r="G454" s="534"/>
      <c r="H454" s="510"/>
      <c r="I454" s="510"/>
      <c r="J454" s="534"/>
      <c r="K454" s="528"/>
    </row>
    <row r="455" spans="1:11" ht="14.25" customHeight="1">
      <c r="A455" s="528"/>
      <c r="B455" s="616" t="s">
        <v>439</v>
      </c>
      <c r="C455" s="617" t="s">
        <v>195</v>
      </c>
      <c r="D455" s="618">
        <f>D460+D461+D462+D468+D471+D476+D477+D478+D479+D480+D481+D482+D483</f>
        <v>141600</v>
      </c>
      <c r="E455" s="618"/>
      <c r="F455" s="750">
        <f>F460+F461+F462+F467+F468+F471+F476+F481+F483</f>
        <v>147317</v>
      </c>
      <c r="G455" s="750"/>
      <c r="H455" s="750"/>
      <c r="I455" s="750">
        <f t="shared" ref="I455" si="32">I460+I461+I462+I467+I468+I471+I476+I481+I483</f>
        <v>147317</v>
      </c>
      <c r="J455" s="750"/>
      <c r="K455" s="528"/>
    </row>
    <row r="456" spans="1:11" ht="14.25" customHeight="1">
      <c r="A456" s="528"/>
      <c r="B456" s="604" t="s">
        <v>440</v>
      </c>
      <c r="C456" s="605" t="s">
        <v>207</v>
      </c>
      <c r="D456" s="510">
        <v>0</v>
      </c>
      <c r="E456" s="534"/>
      <c r="F456" s="510"/>
      <c r="G456" s="534"/>
      <c r="H456" s="510"/>
      <c r="I456" s="510"/>
      <c r="J456" s="534"/>
      <c r="K456" s="528"/>
    </row>
    <row r="457" spans="1:11" ht="14.25" customHeight="1">
      <c r="A457" s="528"/>
      <c r="B457" s="604" t="s">
        <v>441</v>
      </c>
      <c r="C457" s="605" t="s">
        <v>208</v>
      </c>
      <c r="D457" s="510">
        <v>0</v>
      </c>
      <c r="E457" s="534"/>
      <c r="F457" s="510"/>
      <c r="G457" s="534"/>
      <c r="H457" s="510"/>
      <c r="I457" s="510"/>
      <c r="J457" s="534"/>
      <c r="K457" s="528"/>
    </row>
    <row r="458" spans="1:11" ht="14.25" customHeight="1">
      <c r="A458" s="528"/>
      <c r="B458" s="604" t="s">
        <v>442</v>
      </c>
      <c r="C458" s="605" t="s">
        <v>209</v>
      </c>
      <c r="D458" s="510">
        <v>0</v>
      </c>
      <c r="E458" s="504"/>
      <c r="F458" s="601"/>
      <c r="G458" s="504"/>
      <c r="H458" s="601"/>
      <c r="I458" s="601"/>
      <c r="J458" s="504"/>
      <c r="K458" s="528"/>
    </row>
    <row r="459" spans="1:11" ht="14.25" customHeight="1">
      <c r="A459" s="528"/>
      <c r="B459" s="604" t="s">
        <v>443</v>
      </c>
      <c r="C459" s="605" t="s">
        <v>210</v>
      </c>
      <c r="D459" s="510">
        <v>0</v>
      </c>
      <c r="E459" s="534"/>
      <c r="F459" s="510"/>
      <c r="G459" s="534"/>
      <c r="H459" s="510"/>
      <c r="I459" s="510"/>
      <c r="J459" s="534"/>
      <c r="K459" s="528"/>
    </row>
    <row r="460" spans="1:11" s="494" customFormat="1" ht="190.5" customHeight="1">
      <c r="A460" s="519"/>
      <c r="B460" s="600" t="s">
        <v>444</v>
      </c>
      <c r="C460" s="601" t="s">
        <v>445</v>
      </c>
      <c r="D460" s="601">
        <v>20000</v>
      </c>
      <c r="E460" s="504" t="s">
        <v>1047</v>
      </c>
      <c r="F460" s="601">
        <v>20000</v>
      </c>
      <c r="G460" s="504" t="s">
        <v>814</v>
      </c>
      <c r="H460" s="601" t="s">
        <v>561</v>
      </c>
      <c r="I460" s="601">
        <v>20000</v>
      </c>
      <c r="J460" s="504" t="s">
        <v>813</v>
      </c>
      <c r="K460" s="519"/>
    </row>
    <row r="461" spans="1:11" ht="51.75" customHeight="1">
      <c r="A461" s="528"/>
      <c r="B461" s="604" t="s">
        <v>446</v>
      </c>
      <c r="C461" s="605" t="s">
        <v>211</v>
      </c>
      <c r="D461" s="510">
        <v>0</v>
      </c>
      <c r="E461" s="504"/>
      <c r="F461" s="601">
        <v>0</v>
      </c>
      <c r="G461" s="504"/>
      <c r="H461" s="601"/>
      <c r="I461" s="601"/>
      <c r="J461" s="504"/>
      <c r="K461" s="528"/>
    </row>
    <row r="462" spans="1:11" s="494" customFormat="1" ht="51.75" customHeight="1">
      <c r="A462" s="519"/>
      <c r="B462" s="600" t="s">
        <v>470</v>
      </c>
      <c r="C462" s="601" t="s">
        <v>212</v>
      </c>
      <c r="D462" s="601">
        <v>47600</v>
      </c>
      <c r="E462" s="514"/>
      <c r="F462" s="514">
        <f>F463+F464+F465+F466</f>
        <v>47600</v>
      </c>
      <c r="G462" s="514"/>
      <c r="H462" s="514"/>
      <c r="I462" s="514">
        <f t="shared" ref="I462" si="33">I463+I464+I465+I466</f>
        <v>47600</v>
      </c>
      <c r="J462" s="514"/>
      <c r="K462" s="519"/>
    </row>
    <row r="463" spans="1:11" s="494" customFormat="1" ht="219" customHeight="1">
      <c r="A463" s="519"/>
      <c r="B463" s="600"/>
      <c r="C463" s="601"/>
      <c r="D463" s="601"/>
      <c r="E463" s="504" t="s">
        <v>1048</v>
      </c>
      <c r="F463" s="601">
        <v>5200</v>
      </c>
      <c r="G463" s="504" t="s">
        <v>886</v>
      </c>
      <c r="H463" s="601"/>
      <c r="I463" s="601">
        <f>3890+1310</f>
        <v>5200</v>
      </c>
      <c r="J463" s="504" t="s">
        <v>909</v>
      </c>
      <c r="K463" s="519"/>
    </row>
    <row r="464" spans="1:11" s="535" customFormat="1" ht="207.75" customHeight="1">
      <c r="A464" s="645"/>
      <c r="B464" s="749"/>
      <c r="C464" s="689"/>
      <c r="D464" s="689"/>
      <c r="E464" s="504" t="s">
        <v>933</v>
      </c>
      <c r="F464" s="601">
        <v>14540</v>
      </c>
      <c r="G464" s="504" t="s">
        <v>910</v>
      </c>
      <c r="H464" s="601" t="s">
        <v>911</v>
      </c>
      <c r="I464" s="601">
        <f>14540</f>
        <v>14540</v>
      </c>
      <c r="J464" s="504" t="s">
        <v>912</v>
      </c>
      <c r="K464" s="645"/>
    </row>
    <row r="465" spans="1:11" s="535" customFormat="1" ht="64.5" customHeight="1">
      <c r="A465" s="645"/>
      <c r="B465" s="749"/>
      <c r="C465" s="689"/>
      <c r="D465" s="689"/>
      <c r="E465" s="601" t="s">
        <v>934</v>
      </c>
      <c r="F465" s="514">
        <f>1020+12240</f>
        <v>13260</v>
      </c>
      <c r="G465" s="514"/>
      <c r="H465" s="514"/>
      <c r="I465" s="514">
        <f>12240+1020</f>
        <v>13260</v>
      </c>
      <c r="J465" s="601" t="s">
        <v>908</v>
      </c>
      <c r="K465" s="645"/>
    </row>
    <row r="466" spans="1:11" s="535" customFormat="1" ht="207.75" customHeight="1">
      <c r="A466" s="645"/>
      <c r="B466" s="749"/>
      <c r="C466" s="689"/>
      <c r="D466" s="689"/>
      <c r="E466" s="504" t="s">
        <v>1016</v>
      </c>
      <c r="F466" s="601">
        <v>14600</v>
      </c>
      <c r="G466" s="504" t="s">
        <v>571</v>
      </c>
      <c r="H466" s="601"/>
      <c r="I466" s="601">
        <v>14600</v>
      </c>
      <c r="J466" s="504" t="s">
        <v>935</v>
      </c>
      <c r="K466" s="645"/>
    </row>
    <row r="467" spans="1:11" ht="61.5" customHeight="1">
      <c r="A467" s="528"/>
      <c r="B467" s="604" t="s">
        <v>471</v>
      </c>
      <c r="C467" s="605" t="s">
        <v>213</v>
      </c>
      <c r="D467" s="510">
        <v>0</v>
      </c>
      <c r="E467" s="534"/>
      <c r="F467" s="510"/>
      <c r="G467" s="534"/>
      <c r="H467" s="510"/>
      <c r="I467" s="510"/>
      <c r="J467" s="534"/>
      <c r="K467" s="528"/>
    </row>
    <row r="468" spans="1:11" s="494" customFormat="1" ht="102.75" customHeight="1">
      <c r="A468" s="519"/>
      <c r="B468" s="600" t="s">
        <v>472</v>
      </c>
      <c r="C468" s="601" t="s">
        <v>473</v>
      </c>
      <c r="D468" s="601">
        <v>16000</v>
      </c>
      <c r="E468" s="504" t="s">
        <v>790</v>
      </c>
      <c r="F468" s="601">
        <v>16000</v>
      </c>
      <c r="G468" s="504" t="s">
        <v>889</v>
      </c>
      <c r="H468" s="601" t="s">
        <v>890</v>
      </c>
      <c r="I468" s="601">
        <v>16000</v>
      </c>
      <c r="J468" s="504" t="s">
        <v>891</v>
      </c>
      <c r="K468" s="519"/>
    </row>
    <row r="469" spans="1:11" ht="14.25" customHeight="1">
      <c r="A469" s="528"/>
      <c r="B469" s="604" t="s">
        <v>474</v>
      </c>
      <c r="C469" s="605" t="s">
        <v>214</v>
      </c>
      <c r="D469" s="510">
        <v>0</v>
      </c>
      <c r="E469" s="526"/>
      <c r="F469" s="526"/>
      <c r="G469" s="510"/>
      <c r="H469" s="510"/>
      <c r="I469" s="526"/>
      <c r="J469" s="526"/>
      <c r="K469" s="528"/>
    </row>
    <row r="470" spans="1:11" ht="14.25" customHeight="1">
      <c r="A470" s="528"/>
      <c r="B470" s="604" t="s">
        <v>475</v>
      </c>
      <c r="C470" s="605" t="s">
        <v>476</v>
      </c>
      <c r="D470" s="510">
        <v>0</v>
      </c>
      <c r="E470" s="534"/>
      <c r="F470" s="510"/>
      <c r="G470" s="534"/>
      <c r="H470" s="510"/>
      <c r="I470" s="510"/>
      <c r="J470" s="534"/>
      <c r="K470" s="528"/>
    </row>
    <row r="471" spans="1:11" s="494" customFormat="1" ht="66.75" customHeight="1">
      <c r="A471" s="519"/>
      <c r="B471" s="600" t="s">
        <v>477</v>
      </c>
      <c r="C471" s="601" t="s">
        <v>215</v>
      </c>
      <c r="D471" s="514">
        <v>22000</v>
      </c>
      <c r="E471" s="514"/>
      <c r="F471" s="514">
        <f>F472+F473</f>
        <v>25789.32</v>
      </c>
      <c r="G471" s="514"/>
      <c r="H471" s="514"/>
      <c r="I471" s="514">
        <f t="shared" ref="I471" si="34">I472+I473</f>
        <v>25789.32</v>
      </c>
      <c r="J471" s="514"/>
      <c r="K471" s="519"/>
    </row>
    <row r="472" spans="1:11" s="494" customFormat="1" ht="147.75" customHeight="1">
      <c r="A472" s="519"/>
      <c r="B472" s="600"/>
      <c r="C472" s="601"/>
      <c r="D472" s="601"/>
      <c r="E472" s="506" t="s">
        <v>790</v>
      </c>
      <c r="F472" s="603">
        <v>22000</v>
      </c>
      <c r="G472" s="506" t="s">
        <v>894</v>
      </c>
      <c r="H472" s="601" t="s">
        <v>895</v>
      </c>
      <c r="I472" s="601">
        <v>22000</v>
      </c>
      <c r="J472" s="504" t="s">
        <v>896</v>
      </c>
      <c r="K472" s="519"/>
    </row>
    <row r="473" spans="1:11" s="494" customFormat="1" ht="172.5" customHeight="1">
      <c r="A473" s="519"/>
      <c r="B473" s="600"/>
      <c r="C473" s="601"/>
      <c r="D473" s="601"/>
      <c r="E473" s="506" t="s">
        <v>938</v>
      </c>
      <c r="F473" s="603">
        <f>3106+683.32</f>
        <v>3789.32</v>
      </c>
      <c r="G473" s="506" t="s">
        <v>936</v>
      </c>
      <c r="H473" s="601" t="s">
        <v>937</v>
      </c>
      <c r="I473" s="601">
        <f>683.32+559.08+46.59+2500.33</f>
        <v>3789.3199999999997</v>
      </c>
      <c r="J473" s="504" t="s">
        <v>946</v>
      </c>
      <c r="K473" s="519"/>
    </row>
    <row r="474" spans="1:11" ht="14.25" customHeight="1">
      <c r="A474" s="528"/>
      <c r="B474" s="604" t="s">
        <v>478</v>
      </c>
      <c r="C474" s="605" t="s">
        <v>216</v>
      </c>
      <c r="D474" s="510">
        <v>0</v>
      </c>
      <c r="E474" s="534"/>
      <c r="F474" s="510"/>
      <c r="G474" s="534"/>
      <c r="H474" s="510"/>
      <c r="I474" s="510"/>
      <c r="J474" s="534"/>
      <c r="K474" s="528"/>
    </row>
    <row r="475" spans="1:11" ht="14.25" customHeight="1">
      <c r="A475" s="528"/>
      <c r="B475" s="604" t="s">
        <v>479</v>
      </c>
      <c r="C475" s="605" t="s">
        <v>480</v>
      </c>
      <c r="D475" s="510">
        <v>0</v>
      </c>
      <c r="E475" s="685"/>
      <c r="F475" s="605"/>
      <c r="G475" s="685"/>
      <c r="H475" s="605"/>
      <c r="I475" s="605"/>
      <c r="J475" s="685"/>
      <c r="K475" s="528"/>
    </row>
    <row r="476" spans="1:11" ht="335.25" customHeight="1">
      <c r="A476" s="528"/>
      <c r="B476" s="604" t="s">
        <v>481</v>
      </c>
      <c r="C476" s="605" t="s">
        <v>217</v>
      </c>
      <c r="D476" s="605">
        <v>1000</v>
      </c>
      <c r="E476" s="603" t="s">
        <v>1049</v>
      </c>
      <c r="F476" s="504">
        <v>2927.68</v>
      </c>
      <c r="G476" s="601" t="s">
        <v>940</v>
      </c>
      <c r="H476" s="601" t="s">
        <v>939</v>
      </c>
      <c r="I476" s="504">
        <v>2927.68</v>
      </c>
      <c r="J476" s="601" t="s">
        <v>941</v>
      </c>
      <c r="K476" s="528"/>
    </row>
    <row r="477" spans="1:11" s="491" customFormat="1" ht="44.25" customHeight="1">
      <c r="A477" s="640"/>
      <c r="B477" s="604" t="s">
        <v>482</v>
      </c>
      <c r="C477" s="605" t="s">
        <v>483</v>
      </c>
      <c r="D477" s="605">
        <v>0</v>
      </c>
      <c r="E477" s="534"/>
      <c r="F477" s="510"/>
      <c r="G477" s="534"/>
      <c r="H477" s="510"/>
      <c r="I477" s="510"/>
      <c r="J477" s="534"/>
      <c r="K477" s="640"/>
    </row>
    <row r="478" spans="1:11" ht="36" customHeight="1">
      <c r="A478" s="528"/>
      <c r="B478" s="604" t="s">
        <v>487</v>
      </c>
      <c r="C478" s="605" t="s">
        <v>219</v>
      </c>
      <c r="D478" s="510">
        <v>0</v>
      </c>
      <c r="E478" s="534"/>
      <c r="F478" s="510"/>
      <c r="G478" s="534"/>
      <c r="H478" s="510"/>
      <c r="I478" s="510"/>
      <c r="J478" s="534"/>
      <c r="K478" s="528"/>
    </row>
    <row r="479" spans="1:11" ht="135" customHeight="1">
      <c r="A479" s="528"/>
      <c r="B479" s="604" t="s">
        <v>489</v>
      </c>
      <c r="C479" s="605" t="s">
        <v>490</v>
      </c>
      <c r="D479" s="510">
        <v>0</v>
      </c>
      <c r="E479" s="526"/>
      <c r="F479" s="526"/>
      <c r="G479" s="510"/>
      <c r="H479" s="510"/>
      <c r="I479" s="526"/>
      <c r="J479" s="526"/>
      <c r="K479" s="528"/>
    </row>
    <row r="480" spans="1:11" ht="14.25" customHeight="1">
      <c r="A480" s="528"/>
      <c r="B480" s="604" t="s">
        <v>491</v>
      </c>
      <c r="C480" s="605" t="s">
        <v>492</v>
      </c>
      <c r="D480" s="510">
        <v>0</v>
      </c>
      <c r="E480" s="534"/>
      <c r="F480" s="510"/>
      <c r="G480" s="534"/>
      <c r="H480" s="510"/>
      <c r="I480" s="510"/>
      <c r="J480" s="534"/>
      <c r="K480" s="528"/>
    </row>
    <row r="481" spans="1:11" s="494" customFormat="1" ht="178.5" customHeight="1">
      <c r="A481" s="519"/>
      <c r="B481" s="600" t="s">
        <v>495</v>
      </c>
      <c r="C481" s="601" t="s">
        <v>220</v>
      </c>
      <c r="D481" s="601">
        <v>20000</v>
      </c>
      <c r="E481" s="504" t="s">
        <v>496</v>
      </c>
      <c r="F481" s="601">
        <v>20000</v>
      </c>
      <c r="G481" s="504" t="s">
        <v>497</v>
      </c>
      <c r="H481" s="601" t="s">
        <v>745</v>
      </c>
      <c r="I481" s="601">
        <v>20000</v>
      </c>
      <c r="J481" s="504" t="s">
        <v>1050</v>
      </c>
      <c r="K481" s="519"/>
    </row>
    <row r="482" spans="1:11" ht="14.25" customHeight="1">
      <c r="A482" s="528"/>
      <c r="B482" s="604" t="s">
        <v>499</v>
      </c>
      <c r="C482" s="678" t="s">
        <v>500</v>
      </c>
      <c r="D482" s="510">
        <v>0</v>
      </c>
      <c r="E482" s="534"/>
      <c r="F482" s="510"/>
      <c r="G482" s="534"/>
      <c r="H482" s="510"/>
      <c r="I482" s="510"/>
      <c r="J482" s="534"/>
      <c r="K482" s="528"/>
    </row>
    <row r="483" spans="1:11" ht="230.25" customHeight="1">
      <c r="A483" s="528"/>
      <c r="B483" s="604" t="s">
        <v>534</v>
      </c>
      <c r="C483" s="605" t="s">
        <v>222</v>
      </c>
      <c r="D483" s="605">
        <v>15000</v>
      </c>
      <c r="E483" s="504" t="s">
        <v>811</v>
      </c>
      <c r="F483" s="601">
        <v>15000</v>
      </c>
      <c r="G483" s="504" t="s">
        <v>944</v>
      </c>
      <c r="H483" s="601" t="s">
        <v>943</v>
      </c>
      <c r="I483" s="601">
        <f>15000</f>
        <v>15000</v>
      </c>
      <c r="J483" s="504" t="s">
        <v>945</v>
      </c>
      <c r="K483" s="528"/>
    </row>
    <row r="484" spans="1:11" ht="14.25" customHeight="1">
      <c r="A484" s="528"/>
      <c r="B484" s="604" t="s">
        <v>535</v>
      </c>
      <c r="C484" s="605" t="s">
        <v>223</v>
      </c>
      <c r="D484" s="510">
        <v>0</v>
      </c>
      <c r="E484" s="534"/>
      <c r="F484" s="510"/>
      <c r="G484" s="534"/>
      <c r="H484" s="510"/>
      <c r="I484" s="510"/>
      <c r="J484" s="534"/>
      <c r="K484" s="528"/>
    </row>
    <row r="485" spans="1:11" ht="14.25" customHeight="1">
      <c r="A485" s="528"/>
      <c r="B485" s="604" t="s">
        <v>536</v>
      </c>
      <c r="C485" s="605" t="s">
        <v>224</v>
      </c>
      <c r="D485" s="510">
        <v>0</v>
      </c>
      <c r="E485" s="526"/>
      <c r="F485" s="526"/>
      <c r="G485" s="510"/>
      <c r="H485" s="510"/>
      <c r="I485" s="526"/>
      <c r="J485" s="526"/>
      <c r="K485" s="528"/>
    </row>
    <row r="486" spans="1:11" ht="14.25" customHeight="1">
      <c r="A486" s="528"/>
      <c r="B486" s="604" t="s">
        <v>541</v>
      </c>
      <c r="C486" s="678" t="s">
        <v>225</v>
      </c>
      <c r="D486" s="510">
        <v>0</v>
      </c>
      <c r="E486" s="510"/>
      <c r="F486" s="670"/>
      <c r="G486" s="510"/>
      <c r="H486" s="510"/>
      <c r="I486" s="526"/>
      <c r="J486" s="510"/>
      <c r="K486" s="528"/>
    </row>
    <row r="487" spans="1:11" ht="14.25" customHeight="1">
      <c r="A487" s="528"/>
      <c r="B487" s="726" t="s">
        <v>553</v>
      </c>
      <c r="C487" s="727"/>
      <c r="D487" s="682">
        <f>D332+D338+D355+D388+D410+D416+D431+D440</f>
        <v>344950</v>
      </c>
      <c r="E487" s="682"/>
      <c r="F487" s="682">
        <f t="shared" ref="F487:I487" si="35">F296+F298+F301+F311+F332+F338+F355+F363+F388+F416+F410+F431+F436+F440</f>
        <v>344950</v>
      </c>
      <c r="G487" s="682"/>
      <c r="H487" s="682"/>
      <c r="I487" s="682">
        <f t="shared" si="35"/>
        <v>344950</v>
      </c>
      <c r="J487" s="682"/>
      <c r="K487" s="528"/>
    </row>
    <row r="488" spans="1:11" ht="14.25" customHeight="1">
      <c r="A488" s="485"/>
      <c r="B488" s="486"/>
      <c r="C488" s="486"/>
      <c r="D488" s="487"/>
      <c r="E488" s="485"/>
      <c r="F488" s="487"/>
      <c r="J488" s="485"/>
    </row>
    <row r="489" spans="1:11" ht="14.25" customHeight="1">
      <c r="A489" s="485"/>
      <c r="B489" s="486"/>
      <c r="C489" s="486"/>
      <c r="D489" s="487"/>
      <c r="E489" s="485"/>
      <c r="F489" s="487"/>
      <c r="J489" s="485"/>
    </row>
    <row r="490" spans="1:11" ht="14.25" customHeight="1">
      <c r="A490" s="485"/>
      <c r="B490" s="486"/>
      <c r="C490" s="486"/>
      <c r="D490" s="487"/>
      <c r="E490" s="485"/>
      <c r="F490" s="487"/>
      <c r="J490" s="485"/>
    </row>
    <row r="491" spans="1:11" ht="14.25" customHeight="1">
      <c r="A491" s="485"/>
      <c r="B491" s="486"/>
      <c r="C491" s="486"/>
      <c r="D491" s="487"/>
      <c r="E491" s="485"/>
      <c r="F491" s="487"/>
      <c r="J491" s="485"/>
    </row>
    <row r="492" spans="1:11" ht="14.25" customHeight="1">
      <c r="A492" s="485"/>
      <c r="B492" s="486"/>
      <c r="C492" s="486"/>
      <c r="D492" s="487"/>
      <c r="E492" s="485"/>
      <c r="F492" s="487"/>
      <c r="J492" s="485"/>
    </row>
    <row r="493" spans="1:11" ht="14.25" customHeight="1">
      <c r="A493" s="485"/>
      <c r="B493" s="486"/>
      <c r="C493" s="486"/>
      <c r="D493" s="487"/>
      <c r="E493" s="485"/>
      <c r="F493" s="487"/>
      <c r="J493" s="485"/>
    </row>
    <row r="494" spans="1:11" ht="14.25" customHeight="1">
      <c r="A494" s="485"/>
      <c r="B494" s="486"/>
      <c r="C494" s="486"/>
      <c r="D494" s="487"/>
      <c r="E494" s="485"/>
      <c r="F494" s="487"/>
      <c r="J494" s="485"/>
    </row>
    <row r="495" spans="1:11" ht="14.25" customHeight="1">
      <c r="A495" s="485"/>
      <c r="B495" s="486"/>
      <c r="C495" s="486"/>
      <c r="D495" s="487"/>
      <c r="E495" s="485"/>
      <c r="F495" s="487"/>
      <c r="J495" s="485"/>
    </row>
    <row r="496" spans="1:11" ht="14.25" customHeight="1">
      <c r="A496" s="485"/>
      <c r="B496" s="486"/>
      <c r="C496" s="486"/>
      <c r="D496" s="487"/>
      <c r="E496" s="485"/>
      <c r="F496" s="487"/>
      <c r="J496" s="485"/>
    </row>
    <row r="497" spans="1:10" ht="14.25" customHeight="1">
      <c r="A497" s="485"/>
      <c r="B497" s="486"/>
      <c r="C497" s="486"/>
      <c r="D497" s="487"/>
      <c r="E497" s="485"/>
      <c r="F497" s="487"/>
      <c r="J497" s="485"/>
    </row>
    <row r="498" spans="1:10" ht="14.25" customHeight="1">
      <c r="A498" s="485"/>
      <c r="B498" s="486"/>
      <c r="C498" s="486"/>
      <c r="D498" s="487"/>
      <c r="E498" s="485"/>
      <c r="F498" s="487"/>
      <c r="J498" s="485"/>
    </row>
    <row r="499" spans="1:10" ht="14.25" customHeight="1">
      <c r="A499" s="485"/>
      <c r="B499" s="486"/>
      <c r="C499" s="486"/>
      <c r="D499" s="487"/>
      <c r="E499" s="485"/>
      <c r="F499" s="487"/>
      <c r="J499" s="485"/>
    </row>
    <row r="500" spans="1:10" ht="14.25" customHeight="1">
      <c r="A500" s="485"/>
      <c r="B500" s="486"/>
      <c r="C500" s="486"/>
      <c r="D500" s="487"/>
      <c r="E500" s="485"/>
      <c r="F500" s="487"/>
      <c r="J500" s="485"/>
    </row>
    <row r="501" spans="1:10" ht="14.25" customHeight="1">
      <c r="A501" s="485"/>
      <c r="B501" s="486"/>
      <c r="C501" s="486"/>
      <c r="D501" s="487"/>
      <c r="E501" s="485"/>
      <c r="F501" s="487"/>
      <c r="J501" s="485"/>
    </row>
    <row r="502" spans="1:10" ht="14.25" customHeight="1">
      <c r="A502" s="485"/>
      <c r="B502" s="486"/>
      <c r="C502" s="486"/>
      <c r="D502" s="487"/>
      <c r="E502" s="485"/>
      <c r="F502" s="487"/>
      <c r="J502" s="485"/>
    </row>
    <row r="503" spans="1:10" ht="14.25" customHeight="1">
      <c r="A503" s="485"/>
      <c r="B503" s="486"/>
      <c r="C503" s="486"/>
      <c r="D503" s="487"/>
      <c r="E503" s="485"/>
      <c r="F503" s="487"/>
      <c r="J503" s="485"/>
    </row>
    <row r="504" spans="1:10" ht="14.25" customHeight="1">
      <c r="A504" s="485"/>
      <c r="B504" s="486"/>
      <c r="C504" s="486"/>
      <c r="D504" s="487"/>
      <c r="E504" s="485"/>
      <c r="F504" s="487"/>
      <c r="J504" s="485"/>
    </row>
    <row r="505" spans="1:10" ht="14.25" customHeight="1">
      <c r="A505" s="485"/>
      <c r="B505" s="486"/>
      <c r="C505" s="486"/>
      <c r="D505" s="487"/>
      <c r="E505" s="485"/>
      <c r="F505" s="487"/>
      <c r="J505" s="485"/>
    </row>
    <row r="506" spans="1:10" ht="14.25" customHeight="1">
      <c r="A506" s="485"/>
      <c r="B506" s="486"/>
      <c r="C506" s="486"/>
      <c r="D506" s="487"/>
      <c r="E506" s="485"/>
      <c r="F506" s="487"/>
      <c r="J506" s="485"/>
    </row>
    <row r="507" spans="1:10" ht="14.25" customHeight="1">
      <c r="A507" s="485"/>
      <c r="B507" s="486"/>
      <c r="C507" s="486"/>
      <c r="D507" s="487"/>
      <c r="E507" s="485"/>
      <c r="F507" s="487"/>
      <c r="J507" s="485"/>
    </row>
    <row r="508" spans="1:10" ht="14.25" customHeight="1">
      <c r="A508" s="485"/>
      <c r="B508" s="486"/>
      <c r="C508" s="486"/>
      <c r="D508" s="487"/>
      <c r="E508" s="485"/>
      <c r="F508" s="487"/>
      <c r="J508" s="485"/>
    </row>
    <row r="509" spans="1:10" ht="14.25" customHeight="1">
      <c r="A509" s="485"/>
      <c r="B509" s="486"/>
      <c r="C509" s="486"/>
      <c r="D509" s="487"/>
      <c r="E509" s="485"/>
      <c r="F509" s="487"/>
      <c r="J509" s="485"/>
    </row>
    <row r="510" spans="1:10" ht="14.25" customHeight="1">
      <c r="A510" s="485"/>
      <c r="B510" s="486"/>
      <c r="C510" s="486"/>
      <c r="D510" s="487"/>
      <c r="E510" s="485"/>
      <c r="F510" s="487"/>
      <c r="J510" s="485"/>
    </row>
    <row r="511" spans="1:10" ht="14.25" customHeight="1">
      <c r="A511" s="485"/>
      <c r="B511" s="486"/>
      <c r="C511" s="486"/>
      <c r="D511" s="487"/>
      <c r="E511" s="485"/>
      <c r="F511" s="487"/>
      <c r="J511" s="485"/>
    </row>
    <row r="512" spans="1:10" ht="14.25" customHeight="1">
      <c r="A512" s="485"/>
      <c r="B512" s="486"/>
      <c r="C512" s="486"/>
      <c r="D512" s="487"/>
      <c r="E512" s="485"/>
      <c r="F512" s="487"/>
      <c r="J512" s="485"/>
    </row>
    <row r="513" spans="1:10" ht="14.25" customHeight="1">
      <c r="A513" s="485"/>
      <c r="B513" s="486"/>
      <c r="C513" s="486"/>
      <c r="D513" s="487"/>
      <c r="E513" s="485"/>
      <c r="F513" s="487"/>
      <c r="J513" s="485"/>
    </row>
    <row r="514" spans="1:10" ht="14.25" customHeight="1">
      <c r="A514" s="485"/>
      <c r="B514" s="486"/>
      <c r="C514" s="486"/>
      <c r="D514" s="487"/>
      <c r="E514" s="485"/>
      <c r="F514" s="487"/>
      <c r="J514" s="485"/>
    </row>
    <row r="515" spans="1:10" ht="14.25" customHeight="1">
      <c r="A515" s="485"/>
      <c r="B515" s="486"/>
      <c r="C515" s="486"/>
      <c r="D515" s="487"/>
      <c r="E515" s="485"/>
      <c r="F515" s="487"/>
      <c r="J515" s="485"/>
    </row>
    <row r="516" spans="1:10" ht="14.25" customHeight="1">
      <c r="A516" s="485"/>
      <c r="B516" s="486"/>
      <c r="C516" s="486"/>
      <c r="D516" s="487"/>
      <c r="E516" s="485"/>
      <c r="F516" s="487"/>
      <c r="J516" s="485"/>
    </row>
    <row r="517" spans="1:10" ht="14.25" customHeight="1">
      <c r="A517" s="485"/>
      <c r="B517" s="486"/>
      <c r="C517" s="486"/>
      <c r="D517" s="487"/>
      <c r="E517" s="485"/>
      <c r="F517" s="487"/>
      <c r="J517" s="485"/>
    </row>
    <row r="518" spans="1:10" ht="14.25" customHeight="1">
      <c r="A518" s="485"/>
      <c r="B518" s="486"/>
      <c r="C518" s="486"/>
      <c r="D518" s="487"/>
      <c r="E518" s="485"/>
      <c r="F518" s="487"/>
      <c r="J518" s="485"/>
    </row>
    <row r="519" spans="1:10" ht="14.25" customHeight="1">
      <c r="A519" s="485"/>
      <c r="B519" s="486"/>
      <c r="C519" s="486"/>
      <c r="D519" s="487"/>
      <c r="E519" s="485"/>
      <c r="F519" s="487"/>
      <c r="J519" s="485"/>
    </row>
    <row r="520" spans="1:10" ht="14.25" customHeight="1">
      <c r="A520" s="485"/>
      <c r="B520" s="486"/>
      <c r="C520" s="486"/>
      <c r="D520" s="487"/>
      <c r="E520" s="485"/>
      <c r="F520" s="487"/>
      <c r="J520" s="485"/>
    </row>
    <row r="521" spans="1:10" ht="14.25" customHeight="1">
      <c r="A521" s="485"/>
      <c r="B521" s="486"/>
      <c r="C521" s="486"/>
      <c r="D521" s="487"/>
      <c r="E521" s="485"/>
      <c r="F521" s="487"/>
      <c r="J521" s="485"/>
    </row>
    <row r="522" spans="1:10" ht="14.25" customHeight="1">
      <c r="A522" s="485"/>
      <c r="B522" s="486"/>
      <c r="C522" s="486"/>
      <c r="D522" s="487"/>
      <c r="E522" s="485"/>
      <c r="F522" s="487"/>
      <c r="J522" s="485"/>
    </row>
    <row r="523" spans="1:10" ht="14.25" customHeight="1">
      <c r="A523" s="485"/>
      <c r="B523" s="486"/>
      <c r="C523" s="486"/>
      <c r="D523" s="487"/>
      <c r="E523" s="485"/>
      <c r="F523" s="487"/>
      <c r="J523" s="485"/>
    </row>
    <row r="524" spans="1:10" ht="14.25" customHeight="1">
      <c r="A524" s="485"/>
      <c r="B524" s="486"/>
      <c r="C524" s="486"/>
      <c r="D524" s="487"/>
      <c r="E524" s="485"/>
      <c r="F524" s="487"/>
      <c r="J524" s="485"/>
    </row>
    <row r="525" spans="1:10" ht="14.25" customHeight="1">
      <c r="A525" s="485"/>
      <c r="B525" s="486"/>
      <c r="C525" s="486"/>
      <c r="D525" s="487"/>
      <c r="E525" s="485"/>
      <c r="F525" s="487"/>
      <c r="J525" s="485"/>
    </row>
    <row r="526" spans="1:10" ht="14.25" customHeight="1">
      <c r="A526" s="485"/>
      <c r="B526" s="486"/>
      <c r="C526" s="486"/>
      <c r="D526" s="487"/>
      <c r="E526" s="485"/>
      <c r="F526" s="487"/>
      <c r="J526" s="485"/>
    </row>
    <row r="527" spans="1:10" ht="14.25" customHeight="1">
      <c r="A527" s="485"/>
      <c r="B527" s="486"/>
      <c r="C527" s="486"/>
      <c r="D527" s="487"/>
      <c r="E527" s="485"/>
      <c r="F527" s="487"/>
      <c r="J527" s="485"/>
    </row>
    <row r="528" spans="1:10" ht="14.25" customHeight="1">
      <c r="A528" s="485"/>
      <c r="B528" s="486"/>
      <c r="C528" s="486"/>
      <c r="D528" s="487"/>
      <c r="E528" s="485"/>
      <c r="F528" s="487"/>
      <c r="J528" s="485"/>
    </row>
    <row r="529" spans="1:10" ht="14.25" customHeight="1">
      <c r="A529" s="485"/>
      <c r="B529" s="486"/>
      <c r="C529" s="486"/>
      <c r="D529" s="487"/>
      <c r="E529" s="485"/>
      <c r="F529" s="487"/>
      <c r="J529" s="485"/>
    </row>
    <row r="530" spans="1:10" ht="14.25" customHeight="1">
      <c r="A530" s="485"/>
      <c r="B530" s="486"/>
      <c r="C530" s="486"/>
      <c r="D530" s="487"/>
      <c r="E530" s="485"/>
      <c r="F530" s="487"/>
      <c r="J530" s="485"/>
    </row>
    <row r="531" spans="1:10" ht="14.25" customHeight="1">
      <c r="A531" s="485"/>
      <c r="B531" s="486"/>
      <c r="C531" s="486"/>
      <c r="D531" s="487"/>
      <c r="E531" s="485"/>
      <c r="F531" s="487"/>
      <c r="J531" s="485"/>
    </row>
    <row r="532" spans="1:10" ht="14.25" customHeight="1">
      <c r="A532" s="485"/>
      <c r="B532" s="486"/>
      <c r="C532" s="486"/>
      <c r="D532" s="487"/>
      <c r="E532" s="485"/>
      <c r="F532" s="487"/>
      <c r="J532" s="485"/>
    </row>
    <row r="533" spans="1:10" ht="14.25" customHeight="1">
      <c r="A533" s="485"/>
      <c r="B533" s="486"/>
      <c r="C533" s="486"/>
      <c r="D533" s="487"/>
      <c r="E533" s="485"/>
      <c r="F533" s="487"/>
      <c r="J533" s="485"/>
    </row>
    <row r="534" spans="1:10" ht="14.25" customHeight="1">
      <c r="A534" s="485"/>
      <c r="B534" s="486"/>
      <c r="C534" s="486"/>
      <c r="D534" s="487"/>
      <c r="E534" s="485"/>
      <c r="F534" s="487"/>
      <c r="J534" s="485"/>
    </row>
    <row r="535" spans="1:10" ht="14.25" customHeight="1">
      <c r="A535" s="485"/>
      <c r="B535" s="486"/>
      <c r="C535" s="486"/>
      <c r="D535" s="487"/>
      <c r="E535" s="485"/>
      <c r="F535" s="487"/>
      <c r="J535" s="485"/>
    </row>
    <row r="536" spans="1:10" ht="14.25" customHeight="1">
      <c r="A536" s="485"/>
      <c r="B536" s="486"/>
      <c r="C536" s="486"/>
      <c r="D536" s="487"/>
      <c r="E536" s="485"/>
      <c r="F536" s="487"/>
      <c r="J536" s="485"/>
    </row>
    <row r="537" spans="1:10" ht="14.25" customHeight="1">
      <c r="A537" s="485"/>
      <c r="B537" s="486"/>
      <c r="C537" s="486"/>
      <c r="D537" s="487"/>
      <c r="E537" s="485"/>
      <c r="F537" s="487"/>
      <c r="J537" s="485"/>
    </row>
    <row r="538" spans="1:10" ht="14.25" customHeight="1">
      <c r="A538" s="485"/>
      <c r="B538" s="486"/>
      <c r="C538" s="486"/>
      <c r="D538" s="487"/>
      <c r="E538" s="485"/>
      <c r="F538" s="487"/>
      <c r="J538" s="485"/>
    </row>
    <row r="539" spans="1:10" ht="14.25" customHeight="1">
      <c r="A539" s="485"/>
      <c r="B539" s="486"/>
      <c r="C539" s="486"/>
      <c r="D539" s="487"/>
      <c r="E539" s="485"/>
      <c r="F539" s="487"/>
      <c r="J539" s="485"/>
    </row>
    <row r="540" spans="1:10" ht="14.25" customHeight="1">
      <c r="A540" s="485"/>
      <c r="B540" s="486"/>
      <c r="C540" s="486"/>
      <c r="D540" s="487"/>
      <c r="E540" s="485"/>
      <c r="F540" s="487"/>
      <c r="J540" s="485"/>
    </row>
    <row r="541" spans="1:10" ht="14.25" customHeight="1">
      <c r="A541" s="485"/>
      <c r="B541" s="486"/>
      <c r="C541" s="486"/>
      <c r="D541" s="487"/>
      <c r="E541" s="485"/>
      <c r="F541" s="487"/>
      <c r="J541" s="485"/>
    </row>
    <row r="542" spans="1:10" ht="14.25" customHeight="1">
      <c r="A542" s="485"/>
      <c r="B542" s="486"/>
      <c r="C542" s="486"/>
      <c r="D542" s="487"/>
      <c r="E542" s="485"/>
      <c r="F542" s="487"/>
      <c r="J542" s="485"/>
    </row>
    <row r="543" spans="1:10" ht="14.25" customHeight="1">
      <c r="A543" s="485"/>
      <c r="B543" s="486"/>
      <c r="C543" s="486"/>
      <c r="D543" s="487"/>
      <c r="E543" s="485"/>
      <c r="F543" s="487"/>
      <c r="J543" s="485"/>
    </row>
    <row r="544" spans="1:10" ht="14.25" customHeight="1">
      <c r="A544" s="485"/>
      <c r="B544" s="486"/>
      <c r="C544" s="486"/>
      <c r="D544" s="487"/>
      <c r="E544" s="485"/>
      <c r="F544" s="487"/>
      <c r="J544" s="485"/>
    </row>
    <row r="545" spans="1:10" ht="14.25" customHeight="1">
      <c r="A545" s="485"/>
      <c r="B545" s="486"/>
      <c r="C545" s="486"/>
      <c r="D545" s="487"/>
      <c r="E545" s="485"/>
      <c r="F545" s="487"/>
      <c r="J545" s="485"/>
    </row>
    <row r="546" spans="1:10" ht="14.25" customHeight="1">
      <c r="A546" s="485"/>
      <c r="B546" s="486"/>
      <c r="C546" s="486"/>
      <c r="D546" s="487"/>
      <c r="E546" s="485"/>
      <c r="F546" s="487"/>
      <c r="J546" s="485"/>
    </row>
    <row r="547" spans="1:10" ht="14.25" customHeight="1">
      <c r="A547" s="485"/>
      <c r="B547" s="486"/>
      <c r="C547" s="486"/>
      <c r="D547" s="487"/>
      <c r="E547" s="485"/>
      <c r="F547" s="487"/>
      <c r="J547" s="485"/>
    </row>
    <row r="548" spans="1:10" ht="14.25" customHeight="1">
      <c r="A548" s="485"/>
      <c r="B548" s="486"/>
      <c r="C548" s="486"/>
      <c r="D548" s="487"/>
      <c r="E548" s="485"/>
      <c r="F548" s="487"/>
      <c r="J548" s="485"/>
    </row>
    <row r="549" spans="1:10" ht="14.25" customHeight="1">
      <c r="A549" s="485"/>
      <c r="B549" s="486"/>
      <c r="C549" s="486"/>
      <c r="D549" s="487"/>
      <c r="E549" s="485"/>
      <c r="F549" s="487"/>
      <c r="J549" s="485"/>
    </row>
    <row r="550" spans="1:10" ht="14.25" customHeight="1">
      <c r="A550" s="485"/>
      <c r="B550" s="486"/>
      <c r="C550" s="486"/>
      <c r="D550" s="487"/>
      <c r="E550" s="485"/>
      <c r="F550" s="487"/>
      <c r="J550" s="485"/>
    </row>
    <row r="551" spans="1:10" ht="14.25" customHeight="1">
      <c r="A551" s="485"/>
      <c r="B551" s="486"/>
      <c r="C551" s="486"/>
      <c r="D551" s="487"/>
      <c r="E551" s="485"/>
      <c r="F551" s="487"/>
      <c r="J551" s="485"/>
    </row>
    <row r="552" spans="1:10" ht="14.25" customHeight="1">
      <c r="A552" s="485"/>
      <c r="B552" s="486"/>
      <c r="C552" s="486"/>
      <c r="D552" s="487"/>
      <c r="E552" s="485"/>
      <c r="F552" s="487"/>
      <c r="J552" s="485"/>
    </row>
    <row r="553" spans="1:10" ht="14.25" customHeight="1">
      <c r="A553" s="485"/>
      <c r="B553" s="486"/>
      <c r="C553" s="486"/>
      <c r="D553" s="487"/>
      <c r="E553" s="485"/>
      <c r="F553" s="487"/>
      <c r="J553" s="485"/>
    </row>
    <row r="554" spans="1:10" ht="14.25" customHeight="1">
      <c r="A554" s="485"/>
      <c r="B554" s="486"/>
      <c r="C554" s="486"/>
      <c r="D554" s="487"/>
      <c r="E554" s="485"/>
      <c r="F554" s="487"/>
      <c r="J554" s="485"/>
    </row>
    <row r="555" spans="1:10" ht="14.25" customHeight="1">
      <c r="A555" s="485"/>
      <c r="B555" s="486"/>
      <c r="C555" s="486"/>
      <c r="D555" s="487"/>
      <c r="E555" s="485"/>
      <c r="F555" s="487"/>
      <c r="J555" s="485"/>
    </row>
    <row r="556" spans="1:10" ht="14.25" customHeight="1">
      <c r="A556" s="485"/>
      <c r="B556" s="486"/>
      <c r="C556" s="486"/>
      <c r="D556" s="487"/>
      <c r="E556" s="485"/>
      <c r="F556" s="487"/>
      <c r="J556" s="485"/>
    </row>
    <row r="557" spans="1:10" ht="14.25" customHeight="1">
      <c r="A557" s="485"/>
      <c r="B557" s="486"/>
      <c r="C557" s="486"/>
      <c r="D557" s="487"/>
      <c r="E557" s="485"/>
      <c r="F557" s="487"/>
      <c r="J557" s="485"/>
    </row>
    <row r="558" spans="1:10" ht="14.25" customHeight="1">
      <c r="A558" s="485"/>
      <c r="B558" s="486"/>
      <c r="C558" s="486"/>
      <c r="D558" s="487"/>
      <c r="E558" s="485"/>
      <c r="F558" s="487"/>
      <c r="J558" s="485"/>
    </row>
    <row r="559" spans="1:10" ht="14.25" customHeight="1">
      <c r="A559" s="485"/>
      <c r="B559" s="486"/>
      <c r="C559" s="486"/>
      <c r="D559" s="487"/>
      <c r="E559" s="485"/>
      <c r="F559" s="487"/>
      <c r="J559" s="485"/>
    </row>
    <row r="560" spans="1:10" ht="14.25" customHeight="1">
      <c r="A560" s="485"/>
      <c r="B560" s="486"/>
      <c r="C560" s="486"/>
      <c r="D560" s="487"/>
      <c r="E560" s="485"/>
      <c r="F560" s="487"/>
      <c r="J560" s="485"/>
    </row>
    <row r="561" spans="1:10" ht="14.25" customHeight="1">
      <c r="A561" s="485"/>
      <c r="B561" s="486"/>
      <c r="C561" s="486"/>
      <c r="D561" s="487"/>
      <c r="E561" s="485"/>
      <c r="F561" s="487"/>
      <c r="J561" s="485"/>
    </row>
    <row r="562" spans="1:10" ht="14.25" customHeight="1">
      <c r="A562" s="485"/>
      <c r="B562" s="486"/>
      <c r="C562" s="486"/>
      <c r="D562" s="487"/>
      <c r="E562" s="485"/>
      <c r="F562" s="487"/>
      <c r="J562" s="485"/>
    </row>
    <row r="563" spans="1:10" ht="14.25" customHeight="1">
      <c r="A563" s="485"/>
      <c r="B563" s="486"/>
      <c r="C563" s="486"/>
      <c r="D563" s="487"/>
      <c r="E563" s="485"/>
      <c r="F563" s="487"/>
      <c r="J563" s="485"/>
    </row>
    <row r="564" spans="1:10" ht="14.25" customHeight="1">
      <c r="A564" s="485"/>
      <c r="B564" s="486"/>
      <c r="C564" s="486"/>
      <c r="D564" s="487"/>
      <c r="E564" s="485"/>
      <c r="F564" s="487"/>
      <c r="J564" s="485"/>
    </row>
    <row r="565" spans="1:10" ht="14.25" customHeight="1">
      <c r="A565" s="485"/>
      <c r="B565" s="486"/>
      <c r="C565" s="486"/>
      <c r="D565" s="487"/>
      <c r="E565" s="485"/>
      <c r="F565" s="487"/>
      <c r="J565" s="485"/>
    </row>
    <row r="566" spans="1:10" ht="14.25" customHeight="1">
      <c r="A566" s="485"/>
      <c r="B566" s="486"/>
      <c r="C566" s="486"/>
      <c r="D566" s="487"/>
      <c r="E566" s="485"/>
      <c r="F566" s="487"/>
      <c r="J566" s="485"/>
    </row>
    <row r="567" spans="1:10" ht="14.25" customHeight="1">
      <c r="A567" s="485"/>
      <c r="B567" s="486"/>
      <c r="C567" s="486"/>
      <c r="D567" s="487"/>
      <c r="E567" s="485"/>
      <c r="F567" s="487"/>
      <c r="J567" s="485"/>
    </row>
    <row r="568" spans="1:10" ht="14.25" customHeight="1">
      <c r="A568" s="485"/>
      <c r="B568" s="486"/>
      <c r="C568" s="486"/>
      <c r="D568" s="487"/>
      <c r="E568" s="485"/>
      <c r="F568" s="487"/>
      <c r="J568" s="485"/>
    </row>
    <row r="569" spans="1:10" ht="14.25" customHeight="1">
      <c r="A569" s="485"/>
      <c r="B569" s="486"/>
      <c r="C569" s="486"/>
      <c r="D569" s="487"/>
      <c r="E569" s="485"/>
      <c r="F569" s="487"/>
      <c r="J569" s="485"/>
    </row>
    <row r="570" spans="1:10" ht="14.25" customHeight="1">
      <c r="A570" s="485"/>
      <c r="B570" s="486"/>
      <c r="C570" s="486"/>
      <c r="D570" s="487"/>
      <c r="E570" s="485"/>
      <c r="F570" s="487"/>
      <c r="J570" s="485"/>
    </row>
    <row r="571" spans="1:10" ht="14.25" customHeight="1">
      <c r="A571" s="485"/>
      <c r="B571" s="486"/>
      <c r="C571" s="486"/>
      <c r="D571" s="487"/>
      <c r="E571" s="485"/>
      <c r="F571" s="487"/>
      <c r="J571" s="485"/>
    </row>
    <row r="572" spans="1:10" ht="14.25" customHeight="1">
      <c r="A572" s="485"/>
      <c r="B572" s="486"/>
      <c r="C572" s="486"/>
      <c r="D572" s="487"/>
      <c r="E572" s="485"/>
      <c r="F572" s="487"/>
      <c r="J572" s="485"/>
    </row>
    <row r="573" spans="1:10" ht="14.25" customHeight="1">
      <c r="A573" s="485"/>
      <c r="B573" s="486"/>
      <c r="C573" s="486"/>
      <c r="D573" s="487"/>
      <c r="E573" s="485"/>
      <c r="F573" s="487"/>
      <c r="J573" s="485"/>
    </row>
    <row r="574" spans="1:10" ht="14.25" customHeight="1">
      <c r="A574" s="485"/>
      <c r="B574" s="486"/>
      <c r="C574" s="486"/>
      <c r="D574" s="487"/>
      <c r="E574" s="485"/>
      <c r="F574" s="487"/>
      <c r="J574" s="485"/>
    </row>
    <row r="575" spans="1:10" ht="14.25" customHeight="1">
      <c r="A575" s="485"/>
      <c r="B575" s="486"/>
      <c r="C575" s="486"/>
      <c r="D575" s="487"/>
      <c r="E575" s="485"/>
      <c r="F575" s="487"/>
      <c r="J575" s="485"/>
    </row>
    <row r="576" spans="1:10" ht="14.25" customHeight="1">
      <c r="A576" s="485"/>
      <c r="B576" s="486"/>
      <c r="C576" s="486"/>
      <c r="D576" s="487"/>
      <c r="E576" s="485"/>
      <c r="F576" s="487"/>
      <c r="J576" s="485"/>
    </row>
    <row r="577" spans="1:10" ht="14.25" customHeight="1">
      <c r="A577" s="485"/>
      <c r="B577" s="486"/>
      <c r="C577" s="486"/>
      <c r="D577" s="487"/>
      <c r="E577" s="485"/>
      <c r="F577" s="487"/>
      <c r="J577" s="485"/>
    </row>
    <row r="578" spans="1:10" ht="14.25" customHeight="1">
      <c r="A578" s="485"/>
      <c r="B578" s="486"/>
      <c r="C578" s="486"/>
      <c r="D578" s="487"/>
      <c r="E578" s="485"/>
      <c r="F578" s="487"/>
      <c r="J578" s="485"/>
    </row>
    <row r="579" spans="1:10" ht="14.25" customHeight="1">
      <c r="A579" s="485"/>
      <c r="B579" s="486"/>
      <c r="C579" s="486"/>
      <c r="D579" s="487"/>
      <c r="E579" s="485"/>
      <c r="F579" s="487"/>
      <c r="J579" s="485"/>
    </row>
    <row r="580" spans="1:10" ht="14.25" customHeight="1">
      <c r="A580" s="485"/>
      <c r="B580" s="486"/>
      <c r="C580" s="486"/>
      <c r="D580" s="487"/>
      <c r="E580" s="485"/>
      <c r="F580" s="487"/>
      <c r="J580" s="485"/>
    </row>
    <row r="581" spans="1:10" ht="14.25" customHeight="1">
      <c r="A581" s="485"/>
      <c r="B581" s="486"/>
      <c r="C581" s="486"/>
      <c r="D581" s="487"/>
      <c r="E581" s="485"/>
      <c r="F581" s="487"/>
      <c r="J581" s="485"/>
    </row>
    <row r="582" spans="1:10" ht="14.25" customHeight="1">
      <c r="A582" s="485"/>
      <c r="B582" s="486"/>
      <c r="C582" s="486"/>
      <c r="D582" s="487"/>
      <c r="E582" s="485"/>
      <c r="F582" s="487"/>
      <c r="J582" s="485"/>
    </row>
    <row r="583" spans="1:10" ht="14.25" customHeight="1">
      <c r="A583" s="485"/>
      <c r="B583" s="486"/>
      <c r="C583" s="486"/>
      <c r="D583" s="487"/>
      <c r="E583" s="485"/>
      <c r="F583" s="487"/>
      <c r="J583" s="485"/>
    </row>
    <row r="584" spans="1:10" ht="14.25" customHeight="1">
      <c r="A584" s="485"/>
      <c r="B584" s="486"/>
      <c r="C584" s="486"/>
      <c r="D584" s="487"/>
      <c r="E584" s="485"/>
      <c r="F584" s="487"/>
      <c r="J584" s="485"/>
    </row>
    <row r="585" spans="1:10" ht="14.25" customHeight="1">
      <c r="A585" s="485"/>
      <c r="B585" s="486"/>
      <c r="C585" s="486"/>
      <c r="D585" s="487"/>
      <c r="E585" s="485"/>
      <c r="F585" s="487"/>
      <c r="J585" s="485"/>
    </row>
    <row r="586" spans="1:10" ht="14.25" customHeight="1">
      <c r="A586" s="485"/>
      <c r="B586" s="486"/>
      <c r="C586" s="486"/>
      <c r="D586" s="487"/>
      <c r="E586" s="485"/>
      <c r="F586" s="487"/>
      <c r="J586" s="485"/>
    </row>
    <row r="587" spans="1:10" ht="14.25" customHeight="1">
      <c r="A587" s="485"/>
      <c r="B587" s="486"/>
      <c r="C587" s="486"/>
      <c r="D587" s="487"/>
      <c r="E587" s="485"/>
      <c r="F587" s="487"/>
      <c r="J587" s="485"/>
    </row>
    <row r="588" spans="1:10" ht="14.25" customHeight="1">
      <c r="A588" s="485"/>
      <c r="B588" s="486"/>
      <c r="C588" s="486"/>
      <c r="D588" s="487"/>
      <c r="E588" s="485"/>
      <c r="F588" s="487"/>
      <c r="J588" s="485"/>
    </row>
    <row r="589" spans="1:10" ht="14.25" customHeight="1">
      <c r="A589" s="485"/>
      <c r="B589" s="486"/>
      <c r="C589" s="486"/>
      <c r="D589" s="487"/>
      <c r="E589" s="485"/>
      <c r="F589" s="487"/>
      <c r="J589" s="485"/>
    </row>
    <row r="590" spans="1:10" ht="14.25" customHeight="1">
      <c r="A590" s="485"/>
      <c r="B590" s="486"/>
      <c r="C590" s="486"/>
      <c r="D590" s="487"/>
      <c r="E590" s="485"/>
      <c r="F590" s="487"/>
      <c r="J590" s="485"/>
    </row>
    <row r="591" spans="1:10" ht="14.25" customHeight="1">
      <c r="A591" s="485"/>
      <c r="B591" s="486"/>
      <c r="C591" s="486"/>
      <c r="D591" s="487"/>
      <c r="E591" s="485"/>
      <c r="F591" s="487"/>
      <c r="J591" s="485"/>
    </row>
    <row r="592" spans="1:10" ht="14.25" customHeight="1">
      <c r="A592" s="485"/>
      <c r="B592" s="486"/>
      <c r="C592" s="486"/>
      <c r="D592" s="487"/>
      <c r="E592" s="485"/>
      <c r="F592" s="487"/>
      <c r="J592" s="485"/>
    </row>
    <row r="593" spans="1:10" ht="14.25" customHeight="1">
      <c r="A593" s="485"/>
      <c r="B593" s="486"/>
      <c r="C593" s="486"/>
      <c r="D593" s="487"/>
      <c r="E593" s="485"/>
      <c r="F593" s="487"/>
      <c r="J593" s="485"/>
    </row>
    <row r="594" spans="1:10" ht="14.25" customHeight="1">
      <c r="A594" s="485"/>
      <c r="B594" s="486"/>
      <c r="C594" s="486"/>
      <c r="D594" s="487"/>
      <c r="E594" s="485"/>
      <c r="F594" s="487"/>
      <c r="J594" s="485"/>
    </row>
    <row r="595" spans="1:10" ht="14.25" customHeight="1">
      <c r="A595" s="485"/>
      <c r="B595" s="486"/>
      <c r="C595" s="486"/>
      <c r="D595" s="487"/>
      <c r="E595" s="485"/>
      <c r="F595" s="487"/>
      <c r="J595" s="485"/>
    </row>
    <row r="596" spans="1:10" ht="14.25" customHeight="1">
      <c r="A596" s="485"/>
      <c r="B596" s="486"/>
      <c r="C596" s="486"/>
      <c r="D596" s="487"/>
      <c r="E596" s="485"/>
      <c r="F596" s="487"/>
      <c r="J596" s="485"/>
    </row>
    <row r="597" spans="1:10" ht="14.25" customHeight="1">
      <c r="A597" s="485"/>
      <c r="B597" s="486"/>
      <c r="C597" s="486"/>
      <c r="D597" s="487"/>
      <c r="E597" s="485"/>
      <c r="F597" s="487"/>
      <c r="J597" s="485"/>
    </row>
    <row r="598" spans="1:10" ht="14.25" customHeight="1">
      <c r="A598" s="485"/>
      <c r="B598" s="486"/>
      <c r="C598" s="486"/>
      <c r="D598" s="487"/>
      <c r="E598" s="485"/>
      <c r="F598" s="487"/>
      <c r="J598" s="485"/>
    </row>
    <row r="599" spans="1:10" ht="14.25" customHeight="1">
      <c r="A599" s="485"/>
      <c r="B599" s="486"/>
      <c r="C599" s="486"/>
      <c r="D599" s="487"/>
      <c r="E599" s="485"/>
      <c r="F599" s="487"/>
      <c r="J599" s="485"/>
    </row>
    <row r="600" spans="1:10" ht="14.25" customHeight="1">
      <c r="A600" s="485"/>
      <c r="B600" s="486"/>
      <c r="C600" s="486"/>
      <c r="D600" s="487"/>
      <c r="E600" s="485"/>
      <c r="F600" s="487"/>
      <c r="J600" s="485"/>
    </row>
    <row r="601" spans="1:10" ht="14.25" customHeight="1">
      <c r="A601" s="485"/>
      <c r="B601" s="486"/>
      <c r="C601" s="486"/>
      <c r="D601" s="487"/>
      <c r="E601" s="485"/>
      <c r="F601" s="487"/>
      <c r="J601" s="485"/>
    </row>
    <row r="602" spans="1:10" ht="14.25" customHeight="1">
      <c r="A602" s="485"/>
      <c r="B602" s="486"/>
      <c r="C602" s="486"/>
      <c r="D602" s="487"/>
      <c r="E602" s="485"/>
      <c r="F602" s="487"/>
      <c r="J602" s="485"/>
    </row>
    <row r="603" spans="1:10" ht="14.25" customHeight="1">
      <c r="A603" s="485"/>
      <c r="B603" s="486"/>
      <c r="C603" s="486"/>
      <c r="D603" s="487"/>
      <c r="E603" s="485"/>
      <c r="F603" s="487"/>
      <c r="J603" s="485"/>
    </row>
    <row r="604" spans="1:10" ht="14.25" customHeight="1">
      <c r="A604" s="485"/>
      <c r="B604" s="486"/>
      <c r="C604" s="486"/>
      <c r="D604" s="487"/>
      <c r="E604" s="485"/>
      <c r="F604" s="487"/>
      <c r="J604" s="485"/>
    </row>
    <row r="605" spans="1:10" ht="14.25" customHeight="1">
      <c r="A605" s="485"/>
      <c r="B605" s="486"/>
      <c r="C605" s="486"/>
      <c r="D605" s="487"/>
      <c r="E605" s="485"/>
      <c r="F605" s="487"/>
      <c r="J605" s="485"/>
    </row>
    <row r="606" spans="1:10" ht="14.25" customHeight="1">
      <c r="A606" s="485"/>
      <c r="B606" s="486"/>
      <c r="C606" s="486"/>
      <c r="D606" s="487"/>
      <c r="E606" s="485"/>
      <c r="F606" s="487"/>
      <c r="J606" s="485"/>
    </row>
    <row r="607" spans="1:10" ht="14.25" customHeight="1">
      <c r="A607" s="485"/>
      <c r="B607" s="486"/>
      <c r="C607" s="486"/>
      <c r="D607" s="487"/>
      <c r="E607" s="485"/>
      <c r="F607" s="487"/>
      <c r="J607" s="485"/>
    </row>
    <row r="608" spans="1:10" ht="14.25" customHeight="1">
      <c r="A608" s="485"/>
      <c r="B608" s="486"/>
      <c r="C608" s="486"/>
      <c r="D608" s="487"/>
      <c r="E608" s="485"/>
      <c r="F608" s="487"/>
      <c r="J608" s="485"/>
    </row>
    <row r="609" spans="1:10" ht="14.25" customHeight="1">
      <c r="A609" s="485"/>
      <c r="B609" s="486"/>
      <c r="C609" s="486"/>
      <c r="D609" s="487"/>
      <c r="E609" s="485"/>
      <c r="F609" s="487"/>
      <c r="J609" s="485"/>
    </row>
    <row r="610" spans="1:10" ht="14.25" customHeight="1">
      <c r="A610" s="485"/>
      <c r="B610" s="486"/>
      <c r="C610" s="486"/>
      <c r="D610" s="487"/>
      <c r="E610" s="485"/>
      <c r="F610" s="487"/>
      <c r="J610" s="485"/>
    </row>
    <row r="611" spans="1:10" ht="14.25" customHeight="1">
      <c r="A611" s="485"/>
      <c r="B611" s="486"/>
      <c r="C611" s="486"/>
      <c r="D611" s="487"/>
      <c r="E611" s="485"/>
      <c r="F611" s="487"/>
      <c r="J611" s="485"/>
    </row>
    <row r="612" spans="1:10" ht="14.25" customHeight="1">
      <c r="A612" s="485"/>
      <c r="B612" s="486"/>
      <c r="C612" s="486"/>
      <c r="D612" s="487"/>
      <c r="E612" s="485"/>
      <c r="F612" s="487"/>
      <c r="J612" s="485"/>
    </row>
    <row r="613" spans="1:10" ht="14.25" customHeight="1">
      <c r="A613" s="485"/>
      <c r="B613" s="486"/>
      <c r="C613" s="486"/>
      <c r="D613" s="487"/>
      <c r="E613" s="485"/>
      <c r="F613" s="487"/>
      <c r="J613" s="485"/>
    </row>
    <row r="614" spans="1:10" ht="14.25" customHeight="1">
      <c r="A614" s="485"/>
      <c r="B614" s="486"/>
      <c r="C614" s="486"/>
      <c r="D614" s="487"/>
      <c r="E614" s="485"/>
      <c r="F614" s="487"/>
      <c r="J614" s="485"/>
    </row>
    <row r="615" spans="1:10" ht="14.25" customHeight="1">
      <c r="A615" s="485"/>
      <c r="B615" s="486"/>
      <c r="C615" s="486"/>
      <c r="D615" s="487"/>
      <c r="E615" s="485"/>
      <c r="F615" s="487"/>
      <c r="J615" s="485"/>
    </row>
    <row r="616" spans="1:10" ht="14.25" customHeight="1">
      <c r="A616" s="485"/>
      <c r="B616" s="486"/>
      <c r="C616" s="486"/>
      <c r="D616" s="487"/>
      <c r="E616" s="485"/>
      <c r="F616" s="487"/>
      <c r="J616" s="485"/>
    </row>
    <row r="617" spans="1:10" ht="14.25" customHeight="1">
      <c r="A617" s="485"/>
      <c r="B617" s="486"/>
      <c r="C617" s="486"/>
      <c r="D617" s="487"/>
      <c r="E617" s="485"/>
      <c r="F617" s="487"/>
      <c r="J617" s="485"/>
    </row>
    <row r="618" spans="1:10" ht="14.25" customHeight="1">
      <c r="A618" s="485"/>
      <c r="B618" s="486"/>
      <c r="C618" s="486"/>
      <c r="D618" s="487"/>
      <c r="E618" s="485"/>
      <c r="F618" s="487"/>
      <c r="J618" s="485"/>
    </row>
    <row r="619" spans="1:10" ht="14.25" customHeight="1">
      <c r="A619" s="485"/>
      <c r="B619" s="486"/>
      <c r="C619" s="486"/>
      <c r="D619" s="487"/>
      <c r="E619" s="485"/>
      <c r="F619" s="487"/>
      <c r="J619" s="485"/>
    </row>
    <row r="620" spans="1:10" ht="14.25" customHeight="1">
      <c r="A620" s="485"/>
      <c r="B620" s="486"/>
      <c r="C620" s="486"/>
      <c r="D620" s="487"/>
      <c r="E620" s="485"/>
      <c r="F620" s="487"/>
      <c r="J620" s="485"/>
    </row>
    <row r="621" spans="1:10" ht="14.25" customHeight="1">
      <c r="A621" s="485"/>
      <c r="B621" s="486"/>
      <c r="C621" s="486"/>
      <c r="D621" s="487"/>
      <c r="E621" s="485"/>
      <c r="F621" s="487"/>
      <c r="J621" s="485"/>
    </row>
    <row r="622" spans="1:10" ht="14.25" customHeight="1">
      <c r="A622" s="485"/>
      <c r="B622" s="486"/>
      <c r="C622" s="486"/>
      <c r="D622" s="487"/>
      <c r="E622" s="485"/>
      <c r="F622" s="487"/>
      <c r="J622" s="485"/>
    </row>
    <row r="623" spans="1:10" ht="14.25" customHeight="1">
      <c r="A623" s="485"/>
      <c r="B623" s="486"/>
      <c r="C623" s="486"/>
      <c r="D623" s="487"/>
      <c r="E623" s="485"/>
      <c r="F623" s="487"/>
      <c r="J623" s="485"/>
    </row>
    <row r="624" spans="1:10" ht="14.25" customHeight="1">
      <c r="A624" s="485"/>
      <c r="B624" s="486"/>
      <c r="C624" s="486"/>
      <c r="D624" s="487"/>
      <c r="E624" s="485"/>
      <c r="F624" s="487"/>
      <c r="J624" s="485"/>
    </row>
    <row r="625" spans="1:10" ht="14.25" customHeight="1">
      <c r="A625" s="485"/>
      <c r="B625" s="486"/>
      <c r="C625" s="486"/>
      <c r="D625" s="487"/>
      <c r="E625" s="485"/>
      <c r="F625" s="487"/>
      <c r="J625" s="485"/>
    </row>
    <row r="626" spans="1:10" ht="14.25" customHeight="1">
      <c r="A626" s="485"/>
      <c r="B626" s="486"/>
      <c r="C626" s="486"/>
      <c r="D626" s="487"/>
      <c r="E626" s="485"/>
      <c r="F626" s="487"/>
      <c r="J626" s="485"/>
    </row>
    <row r="627" spans="1:10" ht="14.25" customHeight="1">
      <c r="A627" s="485"/>
      <c r="B627" s="486"/>
      <c r="C627" s="486"/>
      <c r="D627" s="487"/>
      <c r="E627" s="485"/>
      <c r="F627" s="487"/>
      <c r="J627" s="485"/>
    </row>
    <row r="628" spans="1:10" ht="14.25" customHeight="1">
      <c r="A628" s="485"/>
      <c r="B628" s="486"/>
      <c r="C628" s="486"/>
      <c r="D628" s="487"/>
      <c r="E628" s="485"/>
      <c r="F628" s="487"/>
      <c r="J628" s="485"/>
    </row>
    <row r="629" spans="1:10" ht="14.25" customHeight="1">
      <c r="A629" s="485"/>
      <c r="B629" s="486"/>
      <c r="C629" s="486"/>
      <c r="D629" s="487"/>
      <c r="E629" s="485"/>
      <c r="F629" s="487"/>
      <c r="J629" s="485"/>
    </row>
    <row r="630" spans="1:10" ht="14.25" customHeight="1">
      <c r="A630" s="485"/>
      <c r="B630" s="486"/>
      <c r="C630" s="486"/>
      <c r="D630" s="487"/>
      <c r="E630" s="485"/>
      <c r="F630" s="487"/>
      <c r="J630" s="485"/>
    </row>
    <row r="631" spans="1:10" ht="14.25" customHeight="1">
      <c r="A631" s="485"/>
      <c r="B631" s="486"/>
      <c r="C631" s="486"/>
      <c r="D631" s="487"/>
      <c r="E631" s="485"/>
      <c r="F631" s="487"/>
      <c r="J631" s="485"/>
    </row>
    <row r="632" spans="1:10" ht="14.25" customHeight="1">
      <c r="A632" s="485"/>
      <c r="B632" s="486"/>
      <c r="C632" s="486"/>
      <c r="D632" s="487"/>
      <c r="E632" s="485"/>
      <c r="F632" s="487"/>
      <c r="J632" s="485"/>
    </row>
    <row r="633" spans="1:10" ht="14.25" customHeight="1">
      <c r="A633" s="485"/>
      <c r="B633" s="486"/>
      <c r="C633" s="486"/>
      <c r="D633" s="487"/>
      <c r="E633" s="485"/>
      <c r="F633" s="487"/>
      <c r="J633" s="485"/>
    </row>
    <row r="634" spans="1:10" ht="14.25" customHeight="1">
      <c r="A634" s="485"/>
      <c r="B634" s="486"/>
      <c r="C634" s="486"/>
      <c r="D634" s="487"/>
      <c r="E634" s="485"/>
      <c r="F634" s="487"/>
      <c r="J634" s="485"/>
    </row>
    <row r="635" spans="1:10" ht="14.25" customHeight="1">
      <c r="A635" s="485"/>
      <c r="B635" s="486"/>
      <c r="C635" s="486"/>
      <c r="D635" s="487"/>
      <c r="E635" s="485"/>
      <c r="F635" s="487"/>
      <c r="J635" s="485"/>
    </row>
    <row r="636" spans="1:10" ht="14.25" customHeight="1">
      <c r="A636" s="485"/>
      <c r="B636" s="486"/>
      <c r="C636" s="486"/>
      <c r="D636" s="487"/>
      <c r="E636" s="485"/>
      <c r="F636" s="487"/>
      <c r="J636" s="485"/>
    </row>
    <row r="637" spans="1:10" ht="14.25" customHeight="1">
      <c r="A637" s="485"/>
      <c r="B637" s="486"/>
      <c r="C637" s="486"/>
      <c r="D637" s="487"/>
      <c r="E637" s="485"/>
      <c r="F637" s="487"/>
      <c r="J637" s="485"/>
    </row>
    <row r="638" spans="1:10" ht="14.25" customHeight="1">
      <c r="A638" s="485"/>
      <c r="B638" s="486"/>
      <c r="C638" s="486"/>
      <c r="D638" s="487"/>
      <c r="E638" s="485"/>
      <c r="F638" s="487"/>
      <c r="J638" s="485"/>
    </row>
    <row r="639" spans="1:10" ht="14.25" customHeight="1">
      <c r="A639" s="485"/>
      <c r="B639" s="486"/>
      <c r="C639" s="486"/>
      <c r="D639" s="487"/>
      <c r="E639" s="485"/>
      <c r="F639" s="487"/>
      <c r="J639" s="485"/>
    </row>
    <row r="640" spans="1:10" ht="14.25" customHeight="1">
      <c r="A640" s="485"/>
      <c r="B640" s="486"/>
      <c r="C640" s="486"/>
      <c r="D640" s="487"/>
      <c r="E640" s="485"/>
      <c r="F640" s="487"/>
      <c r="J640" s="485"/>
    </row>
    <row r="641" spans="1:10" ht="14.25" customHeight="1">
      <c r="A641" s="485"/>
      <c r="B641" s="486"/>
      <c r="C641" s="486"/>
      <c r="D641" s="487"/>
      <c r="E641" s="485"/>
      <c r="F641" s="487"/>
      <c r="J641" s="485"/>
    </row>
    <row r="642" spans="1:10" ht="14.25" customHeight="1">
      <c r="A642" s="485"/>
      <c r="B642" s="486"/>
      <c r="C642" s="486"/>
      <c r="D642" s="487"/>
      <c r="E642" s="485"/>
      <c r="F642" s="487"/>
      <c r="J642" s="485"/>
    </row>
    <row r="643" spans="1:10" ht="14.25" customHeight="1">
      <c r="A643" s="485"/>
      <c r="B643" s="486"/>
      <c r="C643" s="486"/>
      <c r="D643" s="487"/>
      <c r="E643" s="485"/>
      <c r="F643" s="487"/>
      <c r="J643" s="485"/>
    </row>
    <row r="644" spans="1:10" ht="14.25" customHeight="1">
      <c r="A644" s="485"/>
      <c r="B644" s="486"/>
      <c r="C644" s="486"/>
      <c r="D644" s="487"/>
      <c r="E644" s="485"/>
      <c r="F644" s="487"/>
      <c r="J644" s="485"/>
    </row>
    <row r="645" spans="1:10" ht="14.25" customHeight="1">
      <c r="A645" s="485"/>
      <c r="B645" s="486"/>
      <c r="C645" s="486"/>
      <c r="D645" s="487"/>
      <c r="E645" s="485"/>
      <c r="F645" s="487"/>
      <c r="J645" s="485"/>
    </row>
    <row r="646" spans="1:10" ht="14.25" customHeight="1">
      <c r="A646" s="485"/>
      <c r="B646" s="486"/>
      <c r="C646" s="486"/>
      <c r="D646" s="487"/>
      <c r="E646" s="485"/>
      <c r="F646" s="487"/>
      <c r="J646" s="485"/>
    </row>
    <row r="647" spans="1:10" ht="14.25" customHeight="1">
      <c r="A647" s="485"/>
      <c r="B647" s="486"/>
      <c r="C647" s="486"/>
      <c r="D647" s="487"/>
      <c r="E647" s="485"/>
      <c r="F647" s="487"/>
      <c r="J647" s="485"/>
    </row>
    <row r="648" spans="1:10" ht="14.25" customHeight="1">
      <c r="A648" s="485"/>
      <c r="B648" s="486"/>
      <c r="C648" s="486"/>
      <c r="D648" s="487"/>
      <c r="E648" s="485"/>
      <c r="F648" s="487"/>
      <c r="J648" s="485"/>
    </row>
    <row r="649" spans="1:10" ht="14.25" customHeight="1">
      <c r="A649" s="485"/>
      <c r="B649" s="486"/>
      <c r="C649" s="486"/>
      <c r="D649" s="487"/>
      <c r="E649" s="485"/>
      <c r="F649" s="487"/>
      <c r="J649" s="485"/>
    </row>
    <row r="650" spans="1:10" ht="14.25" customHeight="1">
      <c r="A650" s="485"/>
      <c r="B650" s="486"/>
      <c r="C650" s="486"/>
      <c r="D650" s="487"/>
      <c r="E650" s="485"/>
      <c r="F650" s="487"/>
      <c r="J650" s="485"/>
    </row>
    <row r="651" spans="1:10" ht="14.25" customHeight="1">
      <c r="A651" s="485"/>
      <c r="B651" s="486"/>
      <c r="C651" s="486"/>
      <c r="D651" s="487"/>
      <c r="E651" s="485"/>
      <c r="F651" s="487"/>
      <c r="J651" s="485"/>
    </row>
    <row r="652" spans="1:10" ht="14.25" customHeight="1">
      <c r="A652" s="485"/>
      <c r="B652" s="486"/>
      <c r="C652" s="486"/>
      <c r="D652" s="487"/>
      <c r="E652" s="485"/>
      <c r="F652" s="487"/>
      <c r="J652" s="485"/>
    </row>
    <row r="653" spans="1:10" ht="14.25" customHeight="1">
      <c r="A653" s="485"/>
      <c r="B653" s="486"/>
      <c r="C653" s="486"/>
      <c r="D653" s="487"/>
      <c r="E653" s="485"/>
      <c r="F653" s="487"/>
      <c r="J653" s="485"/>
    </row>
    <row r="654" spans="1:10" ht="14.25" customHeight="1">
      <c r="A654" s="485"/>
      <c r="B654" s="486"/>
      <c r="C654" s="486"/>
      <c r="D654" s="487"/>
      <c r="E654" s="485"/>
      <c r="F654" s="487"/>
      <c r="J654" s="485"/>
    </row>
    <row r="655" spans="1:10" ht="14.25" customHeight="1">
      <c r="A655" s="485"/>
      <c r="B655" s="486"/>
      <c r="C655" s="486"/>
      <c r="D655" s="487"/>
      <c r="E655" s="485"/>
      <c r="F655" s="487"/>
      <c r="J655" s="485"/>
    </row>
    <row r="656" spans="1:10" ht="14.25" customHeight="1">
      <c r="A656" s="485"/>
      <c r="B656" s="486"/>
      <c r="C656" s="486"/>
      <c r="D656" s="487"/>
      <c r="E656" s="485"/>
      <c r="F656" s="487"/>
      <c r="J656" s="485"/>
    </row>
    <row r="657" spans="1:10" ht="14.25" customHeight="1">
      <c r="A657" s="485"/>
      <c r="B657" s="486"/>
      <c r="C657" s="486"/>
      <c r="D657" s="487"/>
      <c r="E657" s="485"/>
      <c r="F657" s="487"/>
      <c r="J657" s="485"/>
    </row>
    <row r="658" spans="1:10" ht="14.25" customHeight="1">
      <c r="A658" s="485"/>
      <c r="B658" s="486"/>
      <c r="C658" s="486"/>
      <c r="D658" s="487"/>
      <c r="E658" s="485"/>
      <c r="F658" s="487"/>
      <c r="J658" s="485"/>
    </row>
    <row r="659" spans="1:10" ht="14.25" customHeight="1">
      <c r="A659" s="485"/>
      <c r="B659" s="486"/>
      <c r="C659" s="486"/>
      <c r="D659" s="487"/>
      <c r="E659" s="485"/>
      <c r="F659" s="487"/>
      <c r="J659" s="485"/>
    </row>
    <row r="660" spans="1:10" ht="14.25" customHeight="1">
      <c r="A660" s="485"/>
      <c r="B660" s="486"/>
      <c r="C660" s="486"/>
      <c r="D660" s="487"/>
      <c r="E660" s="485"/>
      <c r="F660" s="487"/>
      <c r="J660" s="485"/>
    </row>
    <row r="661" spans="1:10" ht="14.25" customHeight="1">
      <c r="A661" s="485"/>
      <c r="B661" s="486"/>
      <c r="C661" s="486"/>
      <c r="D661" s="487"/>
      <c r="E661" s="485"/>
      <c r="F661" s="487"/>
      <c r="J661" s="485"/>
    </row>
    <row r="662" spans="1:10" ht="14.25" customHeight="1">
      <c r="A662" s="485"/>
      <c r="B662" s="486"/>
      <c r="C662" s="486"/>
      <c r="D662" s="487"/>
      <c r="E662" s="485"/>
      <c r="F662" s="487"/>
      <c r="J662" s="485"/>
    </row>
    <row r="663" spans="1:10" ht="14.25" customHeight="1">
      <c r="A663" s="485"/>
      <c r="B663" s="486"/>
      <c r="C663" s="486"/>
      <c r="D663" s="487"/>
      <c r="E663" s="485"/>
      <c r="F663" s="487"/>
      <c r="J663" s="485"/>
    </row>
    <row r="664" spans="1:10" ht="14.25" customHeight="1">
      <c r="A664" s="485"/>
      <c r="B664" s="486"/>
      <c r="C664" s="486"/>
      <c r="D664" s="487"/>
      <c r="E664" s="485"/>
      <c r="F664" s="487"/>
      <c r="J664" s="485"/>
    </row>
    <row r="665" spans="1:10" ht="14.25" customHeight="1">
      <c r="A665" s="485"/>
      <c r="B665" s="486"/>
      <c r="C665" s="486"/>
      <c r="D665" s="487"/>
      <c r="E665" s="485"/>
      <c r="F665" s="487"/>
      <c r="J665" s="485"/>
    </row>
    <row r="666" spans="1:10" ht="14.25" customHeight="1">
      <c r="A666" s="485"/>
      <c r="B666" s="486"/>
      <c r="C666" s="486"/>
      <c r="D666" s="487"/>
      <c r="E666" s="485"/>
      <c r="F666" s="487"/>
      <c r="J666" s="485"/>
    </row>
    <row r="667" spans="1:10" ht="14.25" customHeight="1">
      <c r="A667" s="485"/>
      <c r="B667" s="486"/>
      <c r="C667" s="486"/>
      <c r="D667" s="487"/>
      <c r="E667" s="485"/>
      <c r="F667" s="487"/>
      <c r="J667" s="485"/>
    </row>
    <row r="668" spans="1:10" ht="14.25" customHeight="1">
      <c r="A668" s="485"/>
      <c r="B668" s="486"/>
      <c r="C668" s="486"/>
      <c r="D668" s="487"/>
      <c r="E668" s="485"/>
      <c r="F668" s="487"/>
      <c r="J668" s="485"/>
    </row>
    <row r="669" spans="1:10" ht="14.25" customHeight="1">
      <c r="A669" s="485"/>
      <c r="B669" s="486"/>
      <c r="C669" s="486"/>
      <c r="D669" s="487"/>
      <c r="E669" s="485"/>
      <c r="F669" s="487"/>
      <c r="J669" s="485"/>
    </row>
    <row r="670" spans="1:10" ht="14.25" customHeight="1">
      <c r="A670" s="485"/>
      <c r="B670" s="486"/>
      <c r="C670" s="486"/>
      <c r="D670" s="487"/>
      <c r="E670" s="485"/>
      <c r="F670" s="487"/>
      <c r="J670" s="485"/>
    </row>
    <row r="671" spans="1:10" ht="14.25" customHeight="1">
      <c r="A671" s="485"/>
      <c r="B671" s="486"/>
      <c r="C671" s="486"/>
      <c r="D671" s="487"/>
      <c r="E671" s="485"/>
      <c r="F671" s="487"/>
      <c r="J671" s="485"/>
    </row>
    <row r="672" spans="1:10" ht="14.25" customHeight="1">
      <c r="A672" s="485"/>
      <c r="B672" s="486"/>
      <c r="C672" s="486"/>
      <c r="D672" s="487"/>
      <c r="E672" s="485"/>
      <c r="F672" s="487"/>
      <c r="J672" s="485"/>
    </row>
    <row r="673" spans="1:10" ht="14.25" customHeight="1">
      <c r="A673" s="485"/>
      <c r="B673" s="486"/>
      <c r="C673" s="486"/>
      <c r="D673" s="487"/>
      <c r="E673" s="485"/>
      <c r="F673" s="487"/>
      <c r="J673" s="485"/>
    </row>
    <row r="674" spans="1:10" ht="14.25" customHeight="1">
      <c r="A674" s="485"/>
      <c r="B674" s="486"/>
      <c r="C674" s="486"/>
      <c r="D674" s="487"/>
      <c r="E674" s="485"/>
      <c r="F674" s="487"/>
      <c r="J674" s="485"/>
    </row>
    <row r="675" spans="1:10" ht="14.25" customHeight="1">
      <c r="A675" s="485"/>
      <c r="B675" s="486"/>
      <c r="C675" s="486"/>
      <c r="D675" s="487"/>
      <c r="E675" s="485"/>
      <c r="F675" s="487"/>
      <c r="J675" s="485"/>
    </row>
    <row r="676" spans="1:10" ht="14.25" customHeight="1">
      <c r="A676" s="485"/>
      <c r="B676" s="486"/>
      <c r="C676" s="486"/>
      <c r="D676" s="487"/>
      <c r="E676" s="485"/>
      <c r="F676" s="487"/>
      <c r="J676" s="485"/>
    </row>
    <row r="677" spans="1:10" ht="14.25" customHeight="1">
      <c r="A677" s="485"/>
      <c r="B677" s="486"/>
      <c r="C677" s="486"/>
      <c r="D677" s="487"/>
      <c r="E677" s="485"/>
      <c r="F677" s="487"/>
      <c r="J677" s="485"/>
    </row>
    <row r="678" spans="1:10" ht="14.25" customHeight="1">
      <c r="A678" s="485"/>
      <c r="B678" s="486"/>
      <c r="C678" s="486"/>
      <c r="D678" s="487"/>
      <c r="E678" s="485"/>
      <c r="F678" s="487"/>
      <c r="J678" s="485"/>
    </row>
    <row r="679" spans="1:10" ht="14.25" customHeight="1">
      <c r="A679" s="485"/>
      <c r="B679" s="486"/>
      <c r="C679" s="486"/>
      <c r="D679" s="487"/>
      <c r="E679" s="485"/>
      <c r="F679" s="487"/>
      <c r="J679" s="485"/>
    </row>
    <row r="680" spans="1:10" ht="14.25" customHeight="1">
      <c r="A680" s="485"/>
      <c r="B680" s="486"/>
      <c r="C680" s="486"/>
      <c r="D680" s="487"/>
      <c r="E680" s="485"/>
      <c r="F680" s="487"/>
      <c r="J680" s="485"/>
    </row>
    <row r="681" spans="1:10" ht="14.25" customHeight="1">
      <c r="A681" s="485"/>
      <c r="B681" s="486"/>
      <c r="C681" s="486"/>
      <c r="D681" s="487"/>
      <c r="E681" s="485"/>
      <c r="F681" s="487"/>
      <c r="J681" s="485"/>
    </row>
    <row r="682" spans="1:10" ht="14.25" customHeight="1">
      <c r="A682" s="485"/>
      <c r="B682" s="486"/>
      <c r="C682" s="486"/>
      <c r="D682" s="487"/>
      <c r="E682" s="485"/>
      <c r="F682" s="487"/>
      <c r="J682" s="485"/>
    </row>
    <row r="683" spans="1:10" ht="14.25" customHeight="1">
      <c r="A683" s="485"/>
      <c r="B683" s="486"/>
      <c r="C683" s="486"/>
      <c r="D683" s="487"/>
      <c r="E683" s="485"/>
      <c r="F683" s="487"/>
      <c r="J683" s="485"/>
    </row>
    <row r="684" spans="1:10" ht="14.25" customHeight="1">
      <c r="A684" s="485"/>
      <c r="B684" s="486"/>
      <c r="C684" s="486"/>
      <c r="D684" s="487"/>
      <c r="E684" s="485"/>
      <c r="F684" s="487"/>
      <c r="J684" s="485"/>
    </row>
    <row r="685" spans="1:10" ht="14.25" customHeight="1">
      <c r="A685" s="485"/>
      <c r="B685" s="486"/>
      <c r="C685" s="486"/>
      <c r="D685" s="487"/>
      <c r="E685" s="485"/>
      <c r="F685" s="487"/>
      <c r="J685" s="485"/>
    </row>
    <row r="686" spans="1:10" ht="14.25" customHeight="1">
      <c r="A686" s="485"/>
      <c r="B686" s="486"/>
      <c r="C686" s="486"/>
      <c r="D686" s="487"/>
      <c r="E686" s="485"/>
      <c r="F686" s="487"/>
      <c r="J686" s="485"/>
    </row>
    <row r="687" spans="1:10" ht="14.25" customHeight="1">
      <c r="A687" s="485"/>
      <c r="B687" s="486"/>
      <c r="C687" s="486"/>
      <c r="D687" s="487"/>
      <c r="E687" s="485"/>
      <c r="F687" s="487"/>
      <c r="J687" s="485"/>
    </row>
    <row r="688" spans="1:10" ht="14.25" customHeight="1">
      <c r="A688" s="485"/>
      <c r="B688" s="486"/>
      <c r="C688" s="486"/>
      <c r="D688" s="487"/>
      <c r="E688" s="485"/>
      <c r="F688" s="487"/>
      <c r="J688" s="485"/>
    </row>
    <row r="689" spans="1:10" ht="14.25" customHeight="1">
      <c r="A689" s="485"/>
      <c r="B689" s="486"/>
      <c r="C689" s="486"/>
      <c r="D689" s="487"/>
      <c r="E689" s="485"/>
      <c r="F689" s="487"/>
      <c r="J689" s="485"/>
    </row>
    <row r="690" spans="1:10" ht="14.25" customHeight="1">
      <c r="A690" s="485"/>
      <c r="B690" s="486"/>
      <c r="C690" s="486"/>
      <c r="D690" s="487"/>
      <c r="E690" s="485"/>
      <c r="F690" s="487"/>
      <c r="J690" s="485"/>
    </row>
    <row r="691" spans="1:10" ht="14.25" customHeight="1">
      <c r="A691" s="485"/>
      <c r="B691" s="486"/>
      <c r="C691" s="486"/>
      <c r="D691" s="487"/>
      <c r="E691" s="485"/>
      <c r="F691" s="487"/>
      <c r="J691" s="485"/>
    </row>
    <row r="692" spans="1:10" ht="14.25" customHeight="1">
      <c r="A692" s="485"/>
      <c r="B692" s="486"/>
      <c r="C692" s="486"/>
      <c r="D692" s="487"/>
      <c r="E692" s="485"/>
      <c r="F692" s="487"/>
      <c r="J692" s="485"/>
    </row>
    <row r="693" spans="1:10" ht="14.25" customHeight="1">
      <c r="A693" s="485"/>
      <c r="B693" s="486"/>
      <c r="C693" s="486"/>
      <c r="D693" s="487"/>
      <c r="E693" s="485"/>
      <c r="F693" s="487"/>
      <c r="J693" s="485"/>
    </row>
    <row r="694" spans="1:10" ht="14.25" customHeight="1">
      <c r="A694" s="485"/>
      <c r="B694" s="486"/>
      <c r="C694" s="486"/>
      <c r="D694" s="487"/>
      <c r="E694" s="485"/>
      <c r="F694" s="487"/>
      <c r="J694" s="485"/>
    </row>
    <row r="695" spans="1:10" ht="14.25" customHeight="1">
      <c r="A695" s="485"/>
      <c r="B695" s="486"/>
      <c r="C695" s="486"/>
      <c r="D695" s="487"/>
      <c r="E695" s="485"/>
      <c r="F695" s="487"/>
      <c r="J695" s="485"/>
    </row>
    <row r="696" spans="1:10" ht="14.25" customHeight="1">
      <c r="A696" s="485"/>
      <c r="B696" s="486"/>
      <c r="C696" s="486"/>
      <c r="D696" s="487"/>
      <c r="E696" s="485"/>
      <c r="F696" s="487"/>
      <c r="J696" s="485"/>
    </row>
    <row r="697" spans="1:10" ht="14.25" customHeight="1">
      <c r="A697" s="485"/>
      <c r="B697" s="486"/>
      <c r="C697" s="486"/>
      <c r="D697" s="487"/>
      <c r="E697" s="485"/>
      <c r="F697" s="487"/>
      <c r="J697" s="485"/>
    </row>
    <row r="698" spans="1:10" ht="14.25" customHeight="1">
      <c r="A698" s="485"/>
      <c r="B698" s="486"/>
      <c r="C698" s="486"/>
      <c r="D698" s="487"/>
      <c r="E698" s="485"/>
      <c r="F698" s="487"/>
      <c r="J698" s="485"/>
    </row>
    <row r="699" spans="1:10" ht="14.25" customHeight="1">
      <c r="A699" s="485"/>
      <c r="B699" s="486"/>
      <c r="C699" s="486"/>
      <c r="D699" s="487"/>
      <c r="E699" s="485"/>
      <c r="F699" s="487"/>
      <c r="J699" s="485"/>
    </row>
    <row r="700" spans="1:10" ht="14.25" customHeight="1">
      <c r="A700" s="485"/>
      <c r="B700" s="486"/>
      <c r="C700" s="486"/>
      <c r="D700" s="487"/>
      <c r="E700" s="485"/>
      <c r="F700" s="487"/>
      <c r="J700" s="485"/>
    </row>
    <row r="701" spans="1:10" ht="14.25" customHeight="1">
      <c r="A701" s="485"/>
      <c r="B701" s="486"/>
      <c r="C701" s="486"/>
      <c r="D701" s="487"/>
      <c r="E701" s="485"/>
      <c r="F701" s="487"/>
      <c r="J701" s="485"/>
    </row>
    <row r="702" spans="1:10" ht="14.25" customHeight="1">
      <c r="A702" s="485"/>
      <c r="B702" s="486"/>
      <c r="C702" s="486"/>
      <c r="D702" s="487"/>
      <c r="E702" s="485"/>
      <c r="F702" s="487"/>
      <c r="J702" s="485"/>
    </row>
    <row r="703" spans="1:10" ht="14.25" customHeight="1">
      <c r="A703" s="485"/>
      <c r="B703" s="486"/>
      <c r="C703" s="486"/>
      <c r="D703" s="487"/>
      <c r="E703" s="485"/>
      <c r="F703" s="487"/>
      <c r="J703" s="485"/>
    </row>
    <row r="704" spans="1:10" ht="14.25" customHeight="1">
      <c r="A704" s="485"/>
      <c r="B704" s="486"/>
      <c r="C704" s="486"/>
      <c r="D704" s="487"/>
      <c r="E704" s="485"/>
      <c r="F704" s="487"/>
      <c r="J704" s="485"/>
    </row>
    <row r="705" spans="1:10" ht="14.25" customHeight="1">
      <c r="A705" s="485"/>
      <c r="B705" s="486"/>
      <c r="C705" s="486"/>
      <c r="D705" s="487"/>
      <c r="E705" s="485"/>
      <c r="F705" s="487"/>
      <c r="J705" s="485"/>
    </row>
    <row r="706" spans="1:10" ht="14.25" customHeight="1">
      <c r="A706" s="485"/>
      <c r="B706" s="486"/>
      <c r="C706" s="486"/>
      <c r="D706" s="487"/>
      <c r="E706" s="485"/>
      <c r="F706" s="487"/>
      <c r="J706" s="485"/>
    </row>
    <row r="707" spans="1:10" ht="14.25" customHeight="1">
      <c r="A707" s="485"/>
      <c r="B707" s="486"/>
      <c r="C707" s="486"/>
      <c r="D707" s="487"/>
      <c r="E707" s="485"/>
      <c r="F707" s="487"/>
      <c r="J707" s="485"/>
    </row>
    <row r="708" spans="1:10" ht="14.25" customHeight="1">
      <c r="A708" s="485"/>
      <c r="B708" s="486"/>
      <c r="C708" s="486"/>
      <c r="D708" s="487"/>
      <c r="E708" s="485"/>
      <c r="F708" s="487"/>
      <c r="J708" s="485"/>
    </row>
    <row r="709" spans="1:10" ht="14.25" customHeight="1">
      <c r="A709" s="485"/>
      <c r="B709" s="486"/>
      <c r="C709" s="486"/>
      <c r="D709" s="487"/>
      <c r="E709" s="485"/>
      <c r="F709" s="487"/>
      <c r="J709" s="485"/>
    </row>
    <row r="710" spans="1:10" ht="14.25" customHeight="1">
      <c r="A710" s="485"/>
      <c r="B710" s="486"/>
      <c r="C710" s="486"/>
      <c r="D710" s="487"/>
      <c r="E710" s="485"/>
      <c r="F710" s="487"/>
      <c r="J710" s="485"/>
    </row>
    <row r="711" spans="1:10" ht="14.25" customHeight="1">
      <c r="A711" s="485"/>
      <c r="B711" s="486"/>
      <c r="C711" s="486"/>
      <c r="D711" s="487"/>
      <c r="E711" s="485"/>
      <c r="F711" s="487"/>
      <c r="J711" s="485"/>
    </row>
    <row r="712" spans="1:10" ht="14.25" customHeight="1">
      <c r="A712" s="485"/>
      <c r="B712" s="486"/>
      <c r="C712" s="486"/>
      <c r="D712" s="487"/>
      <c r="E712" s="485"/>
      <c r="F712" s="487"/>
      <c r="J712" s="485"/>
    </row>
    <row r="713" spans="1:10" ht="14.25" customHeight="1">
      <c r="A713" s="485"/>
      <c r="B713" s="486"/>
      <c r="C713" s="486"/>
      <c r="D713" s="487"/>
      <c r="E713" s="485"/>
      <c r="F713" s="487"/>
      <c r="J713" s="485"/>
    </row>
    <row r="714" spans="1:10" ht="14.25" customHeight="1">
      <c r="A714" s="485"/>
      <c r="B714" s="486"/>
      <c r="C714" s="486"/>
      <c r="D714" s="487"/>
      <c r="E714" s="485"/>
      <c r="F714" s="487"/>
      <c r="J714" s="485"/>
    </row>
    <row r="715" spans="1:10" ht="14.25" customHeight="1">
      <c r="A715" s="485"/>
      <c r="B715" s="486"/>
      <c r="C715" s="486"/>
      <c r="D715" s="487"/>
      <c r="E715" s="485"/>
      <c r="F715" s="487"/>
      <c r="J715" s="485"/>
    </row>
    <row r="716" spans="1:10" ht="14.25" customHeight="1">
      <c r="A716" s="485"/>
      <c r="B716" s="486"/>
      <c r="C716" s="486"/>
      <c r="D716" s="487"/>
      <c r="E716" s="485"/>
      <c r="F716" s="487"/>
      <c r="J716" s="485"/>
    </row>
    <row r="717" spans="1:10" ht="14.25" customHeight="1">
      <c r="A717" s="485"/>
      <c r="B717" s="486"/>
      <c r="C717" s="486"/>
      <c r="D717" s="487"/>
      <c r="E717" s="485"/>
      <c r="F717" s="487"/>
      <c r="J717" s="485"/>
    </row>
    <row r="718" spans="1:10" ht="14.25" customHeight="1">
      <c r="A718" s="485"/>
      <c r="B718" s="486"/>
      <c r="C718" s="486"/>
      <c r="D718" s="487"/>
      <c r="E718" s="485"/>
      <c r="F718" s="487"/>
      <c r="J718" s="485"/>
    </row>
    <row r="719" spans="1:10" ht="14.25" customHeight="1">
      <c r="A719" s="485"/>
      <c r="B719" s="486"/>
      <c r="C719" s="486"/>
      <c r="D719" s="487"/>
      <c r="E719" s="485"/>
      <c r="F719" s="487"/>
      <c r="J719" s="485"/>
    </row>
    <row r="720" spans="1:10" ht="14.25" customHeight="1">
      <c r="A720" s="485"/>
      <c r="B720" s="486"/>
      <c r="C720" s="486"/>
      <c r="D720" s="487"/>
      <c r="E720" s="485"/>
      <c r="F720" s="487"/>
      <c r="J720" s="485"/>
    </row>
    <row r="721" spans="1:10" ht="14.25" customHeight="1">
      <c r="A721" s="485"/>
      <c r="B721" s="486"/>
      <c r="C721" s="486"/>
      <c r="D721" s="487"/>
      <c r="E721" s="485"/>
      <c r="F721" s="487"/>
      <c r="J721" s="485"/>
    </row>
    <row r="722" spans="1:10" ht="14.25" customHeight="1">
      <c r="A722" s="485"/>
      <c r="B722" s="486"/>
      <c r="C722" s="486"/>
      <c r="D722" s="487"/>
      <c r="E722" s="485"/>
      <c r="F722" s="487"/>
      <c r="J722" s="485"/>
    </row>
    <row r="723" spans="1:10" ht="14.25" customHeight="1">
      <c r="A723" s="485"/>
      <c r="B723" s="486"/>
      <c r="C723" s="486"/>
      <c r="D723" s="487"/>
      <c r="E723" s="485"/>
      <c r="F723" s="487"/>
      <c r="J723" s="485"/>
    </row>
    <row r="724" spans="1:10" ht="14.25" customHeight="1">
      <c r="A724" s="485"/>
      <c r="B724" s="486"/>
      <c r="C724" s="486"/>
      <c r="D724" s="487"/>
      <c r="E724" s="485"/>
      <c r="F724" s="487"/>
      <c r="J724" s="485"/>
    </row>
    <row r="725" spans="1:10" ht="14.25" customHeight="1">
      <c r="A725" s="485"/>
      <c r="B725" s="486"/>
      <c r="C725" s="486"/>
      <c r="D725" s="487"/>
      <c r="E725" s="485"/>
      <c r="F725" s="487"/>
      <c r="J725" s="485"/>
    </row>
    <row r="726" spans="1:10" ht="14.25" customHeight="1">
      <c r="A726" s="485"/>
      <c r="B726" s="486"/>
      <c r="C726" s="486"/>
      <c r="D726" s="487"/>
      <c r="E726" s="485"/>
      <c r="F726" s="487"/>
      <c r="J726" s="485"/>
    </row>
    <row r="727" spans="1:10" ht="14.25" customHeight="1">
      <c r="A727" s="485"/>
      <c r="B727" s="486"/>
      <c r="C727" s="486"/>
      <c r="D727" s="487"/>
      <c r="E727" s="485"/>
      <c r="F727" s="487"/>
      <c r="J727" s="485"/>
    </row>
    <row r="728" spans="1:10" ht="14.25" customHeight="1">
      <c r="A728" s="485"/>
      <c r="B728" s="486"/>
      <c r="C728" s="486"/>
      <c r="D728" s="487"/>
      <c r="E728" s="485"/>
      <c r="F728" s="487"/>
      <c r="J728" s="485"/>
    </row>
    <row r="729" spans="1:10" ht="14.25" customHeight="1">
      <c r="A729" s="485"/>
      <c r="B729" s="486"/>
      <c r="C729" s="486"/>
      <c r="D729" s="487"/>
      <c r="E729" s="485"/>
      <c r="F729" s="487"/>
      <c r="J729" s="485"/>
    </row>
    <row r="730" spans="1:10" ht="14.25" customHeight="1">
      <c r="A730" s="485"/>
      <c r="B730" s="486"/>
      <c r="C730" s="486"/>
      <c r="D730" s="487"/>
      <c r="E730" s="485"/>
      <c r="F730" s="487"/>
      <c r="J730" s="485"/>
    </row>
    <row r="731" spans="1:10" ht="14.25" customHeight="1">
      <c r="A731" s="485"/>
      <c r="B731" s="486"/>
      <c r="C731" s="486"/>
      <c r="D731" s="487"/>
      <c r="E731" s="485"/>
      <c r="F731" s="487"/>
      <c r="J731" s="485"/>
    </row>
    <row r="732" spans="1:10" ht="14.25" customHeight="1">
      <c r="A732" s="485"/>
      <c r="B732" s="486"/>
      <c r="C732" s="486"/>
      <c r="D732" s="487"/>
      <c r="E732" s="485"/>
      <c r="F732" s="487"/>
      <c r="J732" s="485"/>
    </row>
    <row r="733" spans="1:10" ht="14.25" customHeight="1">
      <c r="A733" s="485"/>
      <c r="B733" s="486"/>
      <c r="C733" s="486"/>
      <c r="D733" s="487"/>
      <c r="E733" s="485"/>
      <c r="F733" s="487"/>
      <c r="J733" s="485"/>
    </row>
    <row r="734" spans="1:10" ht="14.25" customHeight="1">
      <c r="A734" s="485"/>
      <c r="B734" s="486"/>
      <c r="C734" s="486"/>
      <c r="D734" s="487"/>
      <c r="E734" s="485"/>
      <c r="F734" s="487"/>
      <c r="J734" s="485"/>
    </row>
    <row r="735" spans="1:10" ht="14.25" customHeight="1">
      <c r="A735" s="485"/>
      <c r="B735" s="486"/>
      <c r="C735" s="486"/>
      <c r="D735" s="487"/>
      <c r="E735" s="485"/>
      <c r="F735" s="487"/>
      <c r="J735" s="485"/>
    </row>
    <row r="736" spans="1:10" ht="14.25" customHeight="1">
      <c r="A736" s="485"/>
      <c r="B736" s="486"/>
      <c r="C736" s="486"/>
      <c r="D736" s="487"/>
      <c r="E736" s="485"/>
      <c r="F736" s="487"/>
      <c r="J736" s="485"/>
    </row>
    <row r="737" spans="1:10" ht="14.25" customHeight="1">
      <c r="A737" s="485"/>
      <c r="B737" s="486"/>
      <c r="C737" s="486"/>
      <c r="D737" s="487"/>
      <c r="E737" s="485"/>
      <c r="F737" s="487"/>
      <c r="J737" s="485"/>
    </row>
    <row r="738" spans="1:10" ht="14.25" customHeight="1">
      <c r="A738" s="485"/>
      <c r="B738" s="486"/>
      <c r="C738" s="486"/>
      <c r="D738" s="487"/>
      <c r="E738" s="485"/>
      <c r="F738" s="487"/>
      <c r="J738" s="485"/>
    </row>
    <row r="739" spans="1:10" ht="14.25" customHeight="1">
      <c r="A739" s="485"/>
      <c r="B739" s="486"/>
      <c r="C739" s="486"/>
      <c r="D739" s="487"/>
      <c r="E739" s="485"/>
      <c r="F739" s="487"/>
      <c r="J739" s="485"/>
    </row>
    <row r="740" spans="1:10" ht="14.25" customHeight="1">
      <c r="A740" s="485"/>
      <c r="B740" s="486"/>
      <c r="C740" s="486"/>
      <c r="D740" s="487"/>
      <c r="E740" s="485"/>
      <c r="F740" s="487"/>
      <c r="J740" s="485"/>
    </row>
    <row r="741" spans="1:10" ht="14.25" customHeight="1">
      <c r="A741" s="485"/>
      <c r="B741" s="486"/>
      <c r="C741" s="486"/>
      <c r="D741" s="487"/>
      <c r="E741" s="485"/>
      <c r="F741" s="487"/>
      <c r="J741" s="485"/>
    </row>
    <row r="742" spans="1:10" ht="14.25" customHeight="1">
      <c r="A742" s="485"/>
      <c r="B742" s="486"/>
      <c r="C742" s="486"/>
      <c r="D742" s="487"/>
      <c r="E742" s="485"/>
      <c r="F742" s="487"/>
      <c r="J742" s="485"/>
    </row>
    <row r="743" spans="1:10" ht="14.25" customHeight="1">
      <c r="A743" s="485"/>
      <c r="B743" s="486"/>
      <c r="C743" s="486"/>
      <c r="D743" s="487"/>
      <c r="E743" s="485"/>
      <c r="F743" s="487"/>
      <c r="J743" s="485"/>
    </row>
    <row r="744" spans="1:10" ht="14.25" customHeight="1">
      <c r="A744" s="485"/>
      <c r="B744" s="486"/>
      <c r="C744" s="486"/>
      <c r="D744" s="487"/>
      <c r="E744" s="485"/>
      <c r="F744" s="487"/>
      <c r="J744" s="485"/>
    </row>
    <row r="745" spans="1:10" ht="14.25" customHeight="1">
      <c r="A745" s="485"/>
      <c r="B745" s="486"/>
      <c r="C745" s="486"/>
      <c r="D745" s="487"/>
      <c r="E745" s="485"/>
      <c r="F745" s="487"/>
      <c r="J745" s="485"/>
    </row>
    <row r="746" spans="1:10" ht="14.25" customHeight="1">
      <c r="A746" s="485"/>
      <c r="B746" s="486"/>
      <c r="C746" s="486"/>
      <c r="D746" s="487"/>
      <c r="E746" s="485"/>
      <c r="F746" s="487"/>
      <c r="J746" s="485"/>
    </row>
    <row r="747" spans="1:10" ht="14.25" customHeight="1">
      <c r="A747" s="485"/>
      <c r="B747" s="486"/>
      <c r="C747" s="486"/>
      <c r="D747" s="487"/>
      <c r="E747" s="485"/>
      <c r="F747" s="487"/>
      <c r="J747" s="485"/>
    </row>
    <row r="748" spans="1:10" ht="14.25" customHeight="1">
      <c r="A748" s="485"/>
      <c r="B748" s="486"/>
      <c r="C748" s="486"/>
      <c r="D748" s="487"/>
      <c r="E748" s="485"/>
      <c r="F748" s="487"/>
      <c r="J748" s="485"/>
    </row>
    <row r="749" spans="1:10" ht="14.25" customHeight="1">
      <c r="A749" s="485"/>
      <c r="B749" s="486"/>
      <c r="C749" s="486"/>
      <c r="D749" s="487"/>
      <c r="E749" s="485"/>
      <c r="F749" s="487"/>
      <c r="J749" s="485"/>
    </row>
    <row r="750" spans="1:10" ht="14.25" customHeight="1">
      <c r="A750" s="485"/>
      <c r="B750" s="486"/>
      <c r="C750" s="486"/>
      <c r="D750" s="487"/>
      <c r="E750" s="485"/>
      <c r="F750" s="487"/>
      <c r="J750" s="485"/>
    </row>
    <row r="751" spans="1:10" ht="14.25" customHeight="1">
      <c r="A751" s="485"/>
      <c r="B751" s="486"/>
      <c r="C751" s="486"/>
      <c r="D751" s="487"/>
      <c r="E751" s="485"/>
      <c r="F751" s="487"/>
      <c r="J751" s="485"/>
    </row>
    <row r="752" spans="1:10" ht="14.25" customHeight="1">
      <c r="A752" s="485"/>
      <c r="B752" s="486"/>
      <c r="C752" s="486"/>
      <c r="D752" s="487"/>
      <c r="E752" s="485"/>
      <c r="F752" s="487"/>
      <c r="J752" s="485"/>
    </row>
    <row r="753" spans="1:10" ht="14.25" customHeight="1">
      <c r="A753" s="485"/>
      <c r="B753" s="486"/>
      <c r="C753" s="486"/>
      <c r="D753" s="487"/>
      <c r="E753" s="485"/>
      <c r="F753" s="487"/>
      <c r="J753" s="485"/>
    </row>
    <row r="754" spans="1:10" ht="14.25" customHeight="1">
      <c r="A754" s="485"/>
      <c r="B754" s="486"/>
      <c r="C754" s="486"/>
      <c r="D754" s="487"/>
      <c r="E754" s="485"/>
      <c r="F754" s="487"/>
      <c r="J754" s="485"/>
    </row>
    <row r="755" spans="1:10" ht="14.25" customHeight="1">
      <c r="A755" s="485"/>
      <c r="B755" s="486"/>
      <c r="C755" s="486"/>
      <c r="D755" s="487"/>
      <c r="E755" s="485"/>
      <c r="F755" s="487"/>
      <c r="J755" s="485"/>
    </row>
    <row r="756" spans="1:10" ht="14.25" customHeight="1">
      <c r="A756" s="485"/>
      <c r="B756" s="486"/>
      <c r="C756" s="486"/>
      <c r="D756" s="487"/>
      <c r="E756" s="485"/>
      <c r="F756" s="487"/>
      <c r="J756" s="485"/>
    </row>
    <row r="757" spans="1:10" ht="14.25" customHeight="1">
      <c r="A757" s="485"/>
      <c r="B757" s="486"/>
      <c r="C757" s="486"/>
      <c r="D757" s="487"/>
      <c r="E757" s="485"/>
      <c r="F757" s="487"/>
      <c r="J757" s="485"/>
    </row>
    <row r="758" spans="1:10" ht="14.25" customHeight="1">
      <c r="A758" s="485"/>
      <c r="B758" s="486"/>
      <c r="C758" s="486"/>
      <c r="D758" s="487"/>
      <c r="E758" s="485"/>
      <c r="F758" s="487"/>
      <c r="J758" s="485"/>
    </row>
    <row r="759" spans="1:10" ht="14.25" customHeight="1">
      <c r="A759" s="485"/>
      <c r="B759" s="486"/>
      <c r="C759" s="486"/>
      <c r="D759" s="487"/>
      <c r="E759" s="485"/>
      <c r="F759" s="487"/>
      <c r="J759" s="485"/>
    </row>
    <row r="760" spans="1:10" ht="14.25" customHeight="1">
      <c r="A760" s="485"/>
      <c r="B760" s="486"/>
      <c r="C760" s="486"/>
      <c r="D760" s="487"/>
      <c r="E760" s="485"/>
      <c r="F760" s="487"/>
      <c r="J760" s="485"/>
    </row>
    <row r="761" spans="1:10" ht="14.25" customHeight="1">
      <c r="A761" s="485"/>
      <c r="B761" s="486"/>
      <c r="C761" s="486"/>
      <c r="D761" s="487"/>
      <c r="E761" s="485"/>
      <c r="F761" s="487"/>
      <c r="J761" s="485"/>
    </row>
    <row r="762" spans="1:10" ht="14.25" customHeight="1">
      <c r="A762" s="485"/>
      <c r="B762" s="486"/>
      <c r="C762" s="486"/>
      <c r="D762" s="487"/>
      <c r="E762" s="485"/>
      <c r="F762" s="487"/>
      <c r="J762" s="485"/>
    </row>
    <row r="763" spans="1:10" ht="14.25" customHeight="1">
      <c r="A763" s="485"/>
      <c r="B763" s="486"/>
      <c r="C763" s="486"/>
      <c r="D763" s="487"/>
      <c r="E763" s="485"/>
      <c r="F763" s="487"/>
      <c r="J763" s="485"/>
    </row>
    <row r="764" spans="1:10" ht="14.25" customHeight="1">
      <c r="A764" s="485"/>
      <c r="B764" s="486"/>
      <c r="C764" s="486"/>
      <c r="D764" s="487"/>
      <c r="E764" s="485"/>
      <c r="F764" s="487"/>
      <c r="J764" s="485"/>
    </row>
    <row r="765" spans="1:10" ht="14.25" customHeight="1">
      <c r="A765" s="485"/>
      <c r="B765" s="486"/>
      <c r="C765" s="486"/>
      <c r="D765" s="487"/>
      <c r="E765" s="485"/>
      <c r="F765" s="487"/>
      <c r="J765" s="485"/>
    </row>
    <row r="766" spans="1:10" ht="14.25" customHeight="1">
      <c r="A766" s="485"/>
      <c r="B766" s="486"/>
      <c r="C766" s="486"/>
      <c r="D766" s="487"/>
      <c r="E766" s="485"/>
      <c r="F766" s="487"/>
      <c r="J766" s="485"/>
    </row>
    <row r="767" spans="1:10" ht="14.25" customHeight="1">
      <c r="A767" s="485"/>
      <c r="B767" s="486"/>
      <c r="C767" s="486"/>
      <c r="D767" s="487"/>
      <c r="E767" s="485"/>
      <c r="F767" s="487"/>
      <c r="J767" s="485"/>
    </row>
    <row r="768" spans="1:10" ht="14.25" customHeight="1">
      <c r="A768" s="485"/>
      <c r="B768" s="486"/>
      <c r="C768" s="486"/>
      <c r="D768" s="487"/>
      <c r="E768" s="485"/>
      <c r="F768" s="487"/>
      <c r="J768" s="485"/>
    </row>
    <row r="769" spans="1:10" ht="14.25" customHeight="1">
      <c r="A769" s="485"/>
      <c r="B769" s="486"/>
      <c r="C769" s="486"/>
      <c r="D769" s="487"/>
      <c r="E769" s="485"/>
      <c r="F769" s="487"/>
      <c r="J769" s="485"/>
    </row>
    <row r="770" spans="1:10" ht="14.25" customHeight="1">
      <c r="A770" s="485"/>
      <c r="B770" s="486"/>
      <c r="C770" s="486"/>
      <c r="D770" s="487"/>
      <c r="E770" s="485"/>
      <c r="F770" s="487"/>
      <c r="J770" s="485"/>
    </row>
    <row r="771" spans="1:10" ht="14.25" customHeight="1">
      <c r="A771" s="485"/>
      <c r="B771" s="486"/>
      <c r="C771" s="486"/>
      <c r="D771" s="487"/>
      <c r="E771" s="485"/>
      <c r="F771" s="487"/>
      <c r="J771" s="485"/>
    </row>
    <row r="772" spans="1:10" ht="14.25" customHeight="1">
      <c r="A772" s="485"/>
      <c r="B772" s="486"/>
      <c r="C772" s="486"/>
      <c r="D772" s="487"/>
      <c r="E772" s="485"/>
      <c r="F772" s="487"/>
      <c r="J772" s="485"/>
    </row>
    <row r="773" spans="1:10" ht="14.25" customHeight="1">
      <c r="A773" s="485"/>
      <c r="B773" s="486"/>
      <c r="C773" s="486"/>
      <c r="D773" s="487"/>
      <c r="E773" s="485"/>
      <c r="F773" s="487"/>
      <c r="J773" s="485"/>
    </row>
    <row r="774" spans="1:10" ht="14.25" customHeight="1">
      <c r="A774" s="485"/>
      <c r="B774" s="486"/>
      <c r="C774" s="486"/>
      <c r="D774" s="487"/>
      <c r="E774" s="485"/>
      <c r="F774" s="487"/>
      <c r="J774" s="485"/>
    </row>
    <row r="775" spans="1:10" ht="14.25" customHeight="1">
      <c r="A775" s="485"/>
      <c r="B775" s="486"/>
      <c r="C775" s="486"/>
      <c r="D775" s="487"/>
      <c r="E775" s="485"/>
      <c r="F775" s="487"/>
      <c r="J775" s="485"/>
    </row>
    <row r="776" spans="1:10" ht="14.25" customHeight="1">
      <c r="A776" s="485"/>
      <c r="B776" s="486"/>
      <c r="C776" s="486"/>
      <c r="D776" s="487"/>
      <c r="E776" s="485"/>
      <c r="F776" s="487"/>
      <c r="J776" s="485"/>
    </row>
    <row r="777" spans="1:10" ht="14.25" customHeight="1">
      <c r="A777" s="485"/>
      <c r="B777" s="486"/>
      <c r="C777" s="486"/>
      <c r="D777" s="487"/>
      <c r="E777" s="485"/>
      <c r="F777" s="487"/>
      <c r="J777" s="485"/>
    </row>
    <row r="778" spans="1:10" ht="14.25" customHeight="1">
      <c r="A778" s="485"/>
      <c r="B778" s="486"/>
      <c r="C778" s="486"/>
      <c r="D778" s="487"/>
      <c r="E778" s="485"/>
      <c r="F778" s="487"/>
      <c r="J778" s="485"/>
    </row>
    <row r="779" spans="1:10" ht="14.25" customHeight="1">
      <c r="A779" s="485"/>
      <c r="B779" s="486"/>
      <c r="C779" s="486"/>
      <c r="D779" s="487"/>
      <c r="E779" s="485"/>
      <c r="F779" s="487"/>
      <c r="J779" s="485"/>
    </row>
    <row r="780" spans="1:10" ht="14.25" customHeight="1">
      <c r="A780" s="485"/>
      <c r="B780" s="486"/>
      <c r="C780" s="486"/>
      <c r="D780" s="487"/>
      <c r="E780" s="485"/>
      <c r="F780" s="487"/>
      <c r="J780" s="485"/>
    </row>
    <row r="781" spans="1:10" ht="14.25" customHeight="1">
      <c r="A781" s="485"/>
      <c r="B781" s="486"/>
      <c r="C781" s="486"/>
      <c r="D781" s="487"/>
      <c r="E781" s="485"/>
      <c r="F781" s="487"/>
      <c r="J781" s="485"/>
    </row>
    <row r="782" spans="1:10" ht="14.25" customHeight="1">
      <c r="A782" s="485"/>
      <c r="B782" s="486"/>
      <c r="C782" s="486"/>
      <c r="D782" s="487"/>
      <c r="E782" s="485"/>
      <c r="F782" s="487"/>
      <c r="J782" s="485"/>
    </row>
    <row r="783" spans="1:10" ht="14.25" customHeight="1">
      <c r="A783" s="485"/>
      <c r="B783" s="486"/>
      <c r="C783" s="486"/>
      <c r="D783" s="487"/>
      <c r="E783" s="485"/>
      <c r="F783" s="487"/>
      <c r="J783" s="485"/>
    </row>
    <row r="784" spans="1:10" ht="14.25" customHeight="1">
      <c r="A784" s="485"/>
      <c r="B784" s="486"/>
      <c r="C784" s="486"/>
      <c r="D784" s="487"/>
      <c r="E784" s="485"/>
      <c r="F784" s="487"/>
      <c r="J784" s="485"/>
    </row>
    <row r="785" spans="1:10" ht="14.25" customHeight="1">
      <c r="A785" s="485"/>
      <c r="B785" s="486"/>
      <c r="C785" s="486"/>
      <c r="D785" s="487"/>
      <c r="E785" s="485"/>
      <c r="F785" s="487"/>
      <c r="J785" s="485"/>
    </row>
    <row r="786" spans="1:10" ht="14.25" customHeight="1">
      <c r="A786" s="485"/>
      <c r="B786" s="486"/>
      <c r="C786" s="486"/>
      <c r="D786" s="487"/>
      <c r="E786" s="485"/>
      <c r="F786" s="487"/>
      <c r="J786" s="485"/>
    </row>
    <row r="787" spans="1:10" ht="14.25" customHeight="1">
      <c r="A787" s="485"/>
      <c r="B787" s="486"/>
      <c r="C787" s="486"/>
      <c r="D787" s="487"/>
      <c r="E787" s="485"/>
      <c r="F787" s="487"/>
      <c r="J787" s="485"/>
    </row>
    <row r="788" spans="1:10" ht="14.25" customHeight="1">
      <c r="A788" s="485"/>
      <c r="B788" s="486"/>
      <c r="C788" s="486"/>
      <c r="D788" s="487"/>
      <c r="E788" s="485"/>
      <c r="F788" s="487"/>
      <c r="J788" s="485"/>
    </row>
    <row r="789" spans="1:10" ht="14.25" customHeight="1">
      <c r="A789" s="485"/>
      <c r="B789" s="486"/>
      <c r="C789" s="486"/>
      <c r="D789" s="487"/>
      <c r="E789" s="485"/>
      <c r="F789" s="487"/>
      <c r="J789" s="485"/>
    </row>
    <row r="790" spans="1:10" ht="14.25" customHeight="1">
      <c r="A790" s="485"/>
      <c r="B790" s="486"/>
      <c r="C790" s="486"/>
      <c r="D790" s="487"/>
      <c r="E790" s="485"/>
      <c r="F790" s="487"/>
      <c r="J790" s="485"/>
    </row>
    <row r="791" spans="1:10" ht="14.25" customHeight="1">
      <c r="A791" s="485"/>
      <c r="B791" s="486"/>
      <c r="C791" s="486"/>
      <c r="D791" s="487"/>
      <c r="E791" s="485"/>
      <c r="F791" s="487"/>
      <c r="J791" s="485"/>
    </row>
    <row r="792" spans="1:10" ht="14.25" customHeight="1">
      <c r="A792" s="485"/>
      <c r="B792" s="486"/>
      <c r="C792" s="486"/>
      <c r="D792" s="487"/>
      <c r="E792" s="485"/>
      <c r="F792" s="487"/>
      <c r="J792" s="485"/>
    </row>
    <row r="793" spans="1:10" ht="14.25" customHeight="1">
      <c r="A793" s="485"/>
      <c r="B793" s="486"/>
      <c r="C793" s="486"/>
      <c r="D793" s="487"/>
      <c r="E793" s="485"/>
      <c r="F793" s="487"/>
      <c r="J793" s="485"/>
    </row>
    <row r="794" spans="1:10" ht="14.25" customHeight="1">
      <c r="A794" s="485"/>
      <c r="B794" s="486"/>
      <c r="C794" s="486"/>
      <c r="D794" s="487"/>
      <c r="E794" s="485"/>
      <c r="F794" s="487"/>
      <c r="J794" s="485"/>
    </row>
    <row r="795" spans="1:10" ht="14.25" customHeight="1">
      <c r="A795" s="485"/>
      <c r="B795" s="486"/>
      <c r="C795" s="486"/>
      <c r="D795" s="487"/>
      <c r="E795" s="485"/>
      <c r="F795" s="487"/>
      <c r="J795" s="485"/>
    </row>
    <row r="796" spans="1:10" ht="14.25" customHeight="1">
      <c r="A796" s="485"/>
      <c r="B796" s="486"/>
      <c r="C796" s="486"/>
      <c r="D796" s="487"/>
      <c r="E796" s="485"/>
      <c r="F796" s="487"/>
      <c r="J796" s="485"/>
    </row>
    <row r="797" spans="1:10" ht="14.25" customHeight="1">
      <c r="A797" s="485"/>
      <c r="B797" s="486"/>
      <c r="C797" s="486"/>
      <c r="D797" s="487"/>
      <c r="E797" s="485"/>
      <c r="F797" s="487"/>
      <c r="J797" s="485"/>
    </row>
    <row r="798" spans="1:10" ht="14.25" customHeight="1">
      <c r="A798" s="485"/>
      <c r="B798" s="486"/>
      <c r="C798" s="486"/>
      <c r="D798" s="487"/>
      <c r="E798" s="485"/>
      <c r="F798" s="487"/>
      <c r="J798" s="485"/>
    </row>
    <row r="799" spans="1:10" ht="14.25" customHeight="1">
      <c r="A799" s="485"/>
      <c r="B799" s="486"/>
      <c r="C799" s="486"/>
      <c r="D799" s="487"/>
      <c r="E799" s="485"/>
      <c r="F799" s="487"/>
      <c r="J799" s="485"/>
    </row>
    <row r="800" spans="1:10" ht="14.25" customHeight="1">
      <c r="A800" s="485"/>
      <c r="B800" s="486"/>
      <c r="C800" s="486"/>
      <c r="D800" s="487"/>
      <c r="E800" s="485"/>
      <c r="F800" s="487"/>
      <c r="J800" s="485"/>
    </row>
    <row r="801" spans="1:10" ht="14.25" customHeight="1">
      <c r="A801" s="485"/>
      <c r="B801" s="486"/>
      <c r="C801" s="486"/>
      <c r="D801" s="487"/>
      <c r="E801" s="485"/>
      <c r="F801" s="487"/>
      <c r="J801" s="485"/>
    </row>
    <row r="802" spans="1:10" ht="14.25" customHeight="1">
      <c r="A802" s="485"/>
      <c r="B802" s="486"/>
      <c r="C802" s="486"/>
      <c r="D802" s="487"/>
      <c r="E802" s="485"/>
      <c r="F802" s="487"/>
      <c r="J802" s="485"/>
    </row>
    <row r="803" spans="1:10" ht="14.25" customHeight="1">
      <c r="A803" s="485"/>
      <c r="B803" s="486"/>
      <c r="C803" s="486"/>
      <c r="D803" s="487"/>
      <c r="E803" s="485"/>
      <c r="F803" s="487"/>
      <c r="J803" s="485"/>
    </row>
    <row r="804" spans="1:10" ht="14.25" customHeight="1">
      <c r="A804" s="485"/>
      <c r="B804" s="486"/>
      <c r="C804" s="486"/>
      <c r="D804" s="487"/>
      <c r="E804" s="485"/>
      <c r="F804" s="487"/>
      <c r="J804" s="485"/>
    </row>
    <row r="805" spans="1:10" ht="14.25" customHeight="1">
      <c r="A805" s="485"/>
      <c r="B805" s="486"/>
      <c r="C805" s="486"/>
      <c r="D805" s="487"/>
      <c r="E805" s="485"/>
      <c r="F805" s="487"/>
      <c r="J805" s="485"/>
    </row>
    <row r="806" spans="1:10" ht="14.25" customHeight="1">
      <c r="A806" s="485"/>
      <c r="B806" s="486"/>
      <c r="C806" s="486"/>
      <c r="D806" s="487"/>
      <c r="E806" s="485"/>
      <c r="F806" s="487"/>
      <c r="J806" s="485"/>
    </row>
    <row r="807" spans="1:10" ht="14.25" customHeight="1">
      <c r="A807" s="485"/>
      <c r="B807" s="486"/>
      <c r="C807" s="486"/>
      <c r="D807" s="487"/>
      <c r="E807" s="485"/>
      <c r="F807" s="487"/>
      <c r="J807" s="485"/>
    </row>
    <row r="808" spans="1:10" ht="14.25" customHeight="1">
      <c r="A808" s="485"/>
      <c r="B808" s="486"/>
      <c r="C808" s="486"/>
      <c r="D808" s="487"/>
      <c r="E808" s="485"/>
      <c r="F808" s="487"/>
      <c r="J808" s="485"/>
    </row>
    <row r="809" spans="1:10" ht="14.25" customHeight="1">
      <c r="A809" s="485"/>
      <c r="B809" s="486"/>
      <c r="C809" s="486"/>
      <c r="D809" s="487"/>
      <c r="E809" s="485"/>
      <c r="F809" s="487"/>
      <c r="J809" s="485"/>
    </row>
    <row r="810" spans="1:10" ht="14.25" customHeight="1">
      <c r="A810" s="485"/>
      <c r="B810" s="486"/>
      <c r="C810" s="486"/>
      <c r="D810" s="487"/>
      <c r="E810" s="485"/>
      <c r="F810" s="487"/>
      <c r="J810" s="485"/>
    </row>
    <row r="811" spans="1:10" ht="14.25" customHeight="1">
      <c r="A811" s="485"/>
      <c r="B811" s="486"/>
      <c r="C811" s="486"/>
      <c r="D811" s="487"/>
      <c r="E811" s="485"/>
      <c r="F811" s="487"/>
      <c r="J811" s="485"/>
    </row>
    <row r="812" spans="1:10" ht="14.25" customHeight="1">
      <c r="A812" s="485"/>
      <c r="B812" s="486"/>
      <c r="C812" s="486"/>
      <c r="D812" s="487"/>
      <c r="E812" s="485"/>
      <c r="F812" s="487"/>
      <c r="J812" s="485"/>
    </row>
    <row r="813" spans="1:10" ht="14.25" customHeight="1">
      <c r="A813" s="485"/>
      <c r="B813" s="486"/>
      <c r="C813" s="486"/>
      <c r="D813" s="487"/>
      <c r="E813" s="485"/>
      <c r="F813" s="487"/>
      <c r="J813" s="485"/>
    </row>
    <row r="814" spans="1:10" ht="14.25" customHeight="1">
      <c r="A814" s="485"/>
      <c r="B814" s="486"/>
      <c r="C814" s="486"/>
      <c r="D814" s="487"/>
      <c r="E814" s="485"/>
      <c r="F814" s="487"/>
      <c r="J814" s="485"/>
    </row>
    <row r="815" spans="1:10" ht="14.25" customHeight="1">
      <c r="A815" s="485"/>
      <c r="B815" s="486"/>
      <c r="C815" s="486"/>
      <c r="D815" s="487"/>
      <c r="E815" s="485"/>
      <c r="F815" s="487"/>
      <c r="J815" s="485"/>
    </row>
    <row r="816" spans="1:10" ht="14.25" customHeight="1">
      <c r="A816" s="485"/>
      <c r="B816" s="486"/>
      <c r="C816" s="486"/>
      <c r="D816" s="487"/>
      <c r="E816" s="485"/>
      <c r="F816" s="487"/>
      <c r="J816" s="485"/>
    </row>
    <row r="817" spans="1:10" ht="14.25" customHeight="1">
      <c r="A817" s="485"/>
      <c r="B817" s="486"/>
      <c r="C817" s="486"/>
      <c r="D817" s="487"/>
      <c r="E817" s="485"/>
      <c r="F817" s="487"/>
      <c r="J817" s="485"/>
    </row>
    <row r="818" spans="1:10" ht="14.25" customHeight="1">
      <c r="A818" s="485"/>
      <c r="B818" s="486"/>
      <c r="C818" s="486"/>
      <c r="D818" s="487"/>
      <c r="E818" s="485"/>
      <c r="F818" s="487"/>
      <c r="J818" s="485"/>
    </row>
    <row r="819" spans="1:10" ht="14.25" customHeight="1">
      <c r="A819" s="485"/>
      <c r="B819" s="486"/>
      <c r="C819" s="486"/>
      <c r="D819" s="487"/>
      <c r="E819" s="485"/>
      <c r="F819" s="487"/>
      <c r="J819" s="485"/>
    </row>
    <row r="820" spans="1:10" ht="14.25" customHeight="1">
      <c r="A820" s="485"/>
      <c r="B820" s="486"/>
      <c r="C820" s="486"/>
      <c r="D820" s="487"/>
      <c r="E820" s="485"/>
      <c r="F820" s="487"/>
      <c r="J820" s="485"/>
    </row>
    <row r="821" spans="1:10" ht="14.25" customHeight="1">
      <c r="A821" s="485"/>
      <c r="B821" s="486"/>
      <c r="C821" s="486"/>
      <c r="D821" s="487"/>
      <c r="E821" s="485"/>
      <c r="F821" s="487"/>
      <c r="J821" s="485"/>
    </row>
    <row r="822" spans="1:10" ht="14.25" customHeight="1">
      <c r="A822" s="485"/>
      <c r="B822" s="486"/>
      <c r="C822" s="486"/>
      <c r="D822" s="487"/>
      <c r="E822" s="485"/>
      <c r="F822" s="487"/>
      <c r="J822" s="485"/>
    </row>
    <row r="823" spans="1:10" ht="14.25" customHeight="1">
      <c r="A823" s="485"/>
      <c r="B823" s="486"/>
      <c r="C823" s="486"/>
      <c r="D823" s="487"/>
      <c r="E823" s="485"/>
      <c r="F823" s="487"/>
      <c r="J823" s="485"/>
    </row>
    <row r="824" spans="1:10" ht="14.25" customHeight="1">
      <c r="A824" s="485"/>
      <c r="B824" s="486"/>
      <c r="C824" s="486"/>
      <c r="D824" s="487"/>
      <c r="E824" s="485"/>
      <c r="F824" s="487"/>
      <c r="J824" s="485"/>
    </row>
    <row r="825" spans="1:10" ht="14.25" customHeight="1">
      <c r="A825" s="485"/>
      <c r="B825" s="486"/>
      <c r="C825" s="486"/>
      <c r="D825" s="487"/>
      <c r="E825" s="485"/>
      <c r="F825" s="487"/>
      <c r="J825" s="485"/>
    </row>
    <row r="826" spans="1:10" ht="14.25" customHeight="1">
      <c r="A826" s="485"/>
      <c r="B826" s="486"/>
      <c r="C826" s="486"/>
      <c r="D826" s="487"/>
      <c r="E826" s="485"/>
      <c r="F826" s="487"/>
      <c r="J826" s="485"/>
    </row>
    <row r="827" spans="1:10" ht="14.25" customHeight="1">
      <c r="A827" s="485"/>
      <c r="B827" s="486"/>
      <c r="C827" s="486"/>
      <c r="D827" s="487"/>
      <c r="E827" s="485"/>
      <c r="F827" s="487"/>
      <c r="J827" s="485"/>
    </row>
    <row r="828" spans="1:10" ht="14.25" customHeight="1">
      <c r="A828" s="485"/>
      <c r="B828" s="486"/>
      <c r="C828" s="486"/>
      <c r="D828" s="487"/>
      <c r="E828" s="485"/>
      <c r="F828" s="487"/>
      <c r="J828" s="485"/>
    </row>
    <row r="829" spans="1:10" ht="14.25" customHeight="1">
      <c r="A829" s="485"/>
      <c r="B829" s="486"/>
      <c r="C829" s="486"/>
      <c r="D829" s="487"/>
      <c r="E829" s="485"/>
      <c r="F829" s="487"/>
      <c r="J829" s="485"/>
    </row>
    <row r="830" spans="1:10" ht="14.25" customHeight="1">
      <c r="A830" s="485"/>
      <c r="B830" s="486"/>
      <c r="C830" s="486"/>
      <c r="D830" s="487"/>
      <c r="E830" s="485"/>
      <c r="F830" s="487"/>
      <c r="J830" s="485"/>
    </row>
    <row r="831" spans="1:10" ht="14.25" customHeight="1">
      <c r="A831" s="485"/>
      <c r="B831" s="486"/>
      <c r="C831" s="486"/>
      <c r="D831" s="487"/>
      <c r="E831" s="485"/>
      <c r="F831" s="487"/>
      <c r="J831" s="485"/>
    </row>
    <row r="832" spans="1:10" ht="14.25" customHeight="1">
      <c r="A832" s="485"/>
      <c r="B832" s="486"/>
      <c r="C832" s="486"/>
      <c r="D832" s="487"/>
      <c r="E832" s="485"/>
      <c r="F832" s="487"/>
      <c r="J832" s="485"/>
    </row>
    <row r="833" spans="1:10" ht="14.25" customHeight="1">
      <c r="A833" s="485"/>
      <c r="B833" s="486"/>
      <c r="C833" s="486"/>
      <c r="D833" s="487"/>
      <c r="E833" s="485"/>
      <c r="F833" s="487"/>
      <c r="J833" s="485"/>
    </row>
    <row r="834" spans="1:10" ht="14.25" customHeight="1">
      <c r="A834" s="485"/>
      <c r="B834" s="486"/>
      <c r="C834" s="486"/>
      <c r="D834" s="487"/>
      <c r="E834" s="485"/>
      <c r="F834" s="487"/>
      <c r="J834" s="485"/>
    </row>
    <row r="835" spans="1:10" ht="14.25" customHeight="1">
      <c r="A835" s="485"/>
      <c r="B835" s="486"/>
      <c r="C835" s="486"/>
      <c r="D835" s="487"/>
      <c r="E835" s="485"/>
      <c r="F835" s="487"/>
      <c r="J835" s="485"/>
    </row>
    <row r="836" spans="1:10" ht="14.25" customHeight="1">
      <c r="A836" s="485"/>
      <c r="B836" s="486"/>
      <c r="C836" s="486"/>
      <c r="D836" s="487"/>
      <c r="E836" s="485"/>
      <c r="F836" s="487"/>
      <c r="J836" s="485"/>
    </row>
    <row r="837" spans="1:10" ht="14.25" customHeight="1">
      <c r="A837" s="485"/>
      <c r="B837" s="486"/>
      <c r="C837" s="486"/>
      <c r="D837" s="487"/>
      <c r="E837" s="485"/>
      <c r="F837" s="487"/>
      <c r="J837" s="485"/>
    </row>
    <row r="838" spans="1:10" ht="14.25" customHeight="1">
      <c r="A838" s="485"/>
      <c r="B838" s="486"/>
      <c r="C838" s="486"/>
      <c r="D838" s="487"/>
      <c r="E838" s="485"/>
      <c r="F838" s="487"/>
      <c r="J838" s="485"/>
    </row>
    <row r="839" spans="1:10" ht="14.25" customHeight="1">
      <c r="A839" s="485"/>
      <c r="B839" s="486"/>
      <c r="C839" s="486"/>
      <c r="D839" s="487"/>
      <c r="E839" s="485"/>
      <c r="F839" s="487"/>
      <c r="J839" s="485"/>
    </row>
    <row r="840" spans="1:10" ht="14.25" customHeight="1">
      <c r="A840" s="485"/>
      <c r="B840" s="486"/>
      <c r="C840" s="486"/>
      <c r="D840" s="487"/>
      <c r="E840" s="485"/>
      <c r="F840" s="487"/>
      <c r="J840" s="485"/>
    </row>
    <row r="841" spans="1:10" ht="14.25" customHeight="1">
      <c r="A841" s="485"/>
      <c r="B841" s="486"/>
      <c r="C841" s="486"/>
      <c r="D841" s="487"/>
      <c r="E841" s="485"/>
      <c r="F841" s="487"/>
      <c r="J841" s="485"/>
    </row>
    <row r="842" spans="1:10" ht="14.25" customHeight="1">
      <c r="A842" s="485"/>
      <c r="B842" s="486"/>
      <c r="C842" s="486"/>
      <c r="D842" s="487"/>
      <c r="E842" s="485"/>
      <c r="F842" s="487"/>
      <c r="J842" s="485"/>
    </row>
    <row r="843" spans="1:10" ht="14.25" customHeight="1">
      <c r="A843" s="485"/>
      <c r="B843" s="486"/>
      <c r="C843" s="486"/>
      <c r="D843" s="487"/>
      <c r="E843" s="485"/>
      <c r="F843" s="487"/>
      <c r="J843" s="485"/>
    </row>
    <row r="844" spans="1:10" ht="14.25" customHeight="1">
      <c r="A844" s="485"/>
      <c r="B844" s="486"/>
      <c r="C844" s="486"/>
      <c r="D844" s="487"/>
      <c r="E844" s="485"/>
      <c r="F844" s="487"/>
      <c r="J844" s="485"/>
    </row>
    <row r="845" spans="1:10" ht="14.25" customHeight="1">
      <c r="A845" s="485"/>
      <c r="B845" s="486"/>
      <c r="C845" s="486"/>
      <c r="D845" s="487"/>
      <c r="E845" s="485"/>
      <c r="F845" s="487"/>
      <c r="J845" s="485"/>
    </row>
    <row r="846" spans="1:10" ht="14.25" customHeight="1">
      <c r="A846" s="485"/>
      <c r="B846" s="486"/>
      <c r="C846" s="486"/>
      <c r="D846" s="487"/>
      <c r="E846" s="485"/>
      <c r="F846" s="487"/>
      <c r="J846" s="485"/>
    </row>
    <row r="847" spans="1:10" ht="14.25" customHeight="1">
      <c r="A847" s="485"/>
      <c r="B847" s="486"/>
      <c r="C847" s="486"/>
      <c r="D847" s="487"/>
      <c r="E847" s="485"/>
      <c r="F847" s="487"/>
      <c r="J847" s="485"/>
    </row>
    <row r="848" spans="1:10" ht="14.25" customHeight="1">
      <c r="A848" s="485"/>
      <c r="B848" s="486"/>
      <c r="C848" s="486"/>
      <c r="D848" s="487"/>
      <c r="E848" s="485"/>
      <c r="F848" s="487"/>
      <c r="J848" s="485"/>
    </row>
    <row r="849" spans="1:10" ht="14.25" customHeight="1">
      <c r="A849" s="485"/>
      <c r="B849" s="486"/>
      <c r="C849" s="486"/>
      <c r="D849" s="487"/>
      <c r="E849" s="485"/>
      <c r="F849" s="487"/>
      <c r="J849" s="485"/>
    </row>
    <row r="850" spans="1:10" ht="14.25" customHeight="1">
      <c r="A850" s="485"/>
      <c r="B850" s="486"/>
      <c r="C850" s="486"/>
      <c r="D850" s="487"/>
      <c r="E850" s="485"/>
      <c r="F850" s="487"/>
      <c r="J850" s="485"/>
    </row>
    <row r="851" spans="1:10" ht="14.25" customHeight="1">
      <c r="A851" s="485"/>
      <c r="B851" s="486"/>
      <c r="C851" s="486"/>
      <c r="D851" s="487"/>
      <c r="E851" s="485"/>
      <c r="F851" s="487"/>
      <c r="J851" s="485"/>
    </row>
    <row r="852" spans="1:10" ht="14.25" customHeight="1">
      <c r="A852" s="485"/>
      <c r="B852" s="486"/>
      <c r="C852" s="486"/>
      <c r="D852" s="487"/>
      <c r="E852" s="485"/>
      <c r="F852" s="487"/>
      <c r="J852" s="485"/>
    </row>
    <row r="853" spans="1:10" ht="14.25" customHeight="1">
      <c r="A853" s="485"/>
      <c r="B853" s="486"/>
      <c r="C853" s="486"/>
      <c r="D853" s="487"/>
      <c r="E853" s="485"/>
      <c r="F853" s="487"/>
      <c r="J853" s="485"/>
    </row>
    <row r="854" spans="1:10" ht="14.25" customHeight="1">
      <c r="A854" s="485"/>
      <c r="B854" s="486"/>
      <c r="C854" s="486"/>
      <c r="D854" s="487"/>
      <c r="E854" s="485"/>
      <c r="F854" s="487"/>
      <c r="J854" s="485"/>
    </row>
    <row r="855" spans="1:10" ht="14.25" customHeight="1">
      <c r="A855" s="485"/>
      <c r="B855" s="486"/>
      <c r="C855" s="486"/>
      <c r="D855" s="487"/>
      <c r="E855" s="485"/>
      <c r="F855" s="487"/>
      <c r="J855" s="485"/>
    </row>
    <row r="856" spans="1:10" ht="14.25" customHeight="1">
      <c r="A856" s="485"/>
      <c r="B856" s="486"/>
      <c r="C856" s="486"/>
      <c r="D856" s="487"/>
      <c r="E856" s="485"/>
      <c r="F856" s="487"/>
      <c r="J856" s="485"/>
    </row>
    <row r="857" spans="1:10" ht="14.25" customHeight="1">
      <c r="A857" s="485"/>
      <c r="B857" s="486"/>
      <c r="C857" s="486"/>
      <c r="D857" s="487"/>
      <c r="E857" s="485"/>
      <c r="F857" s="487"/>
      <c r="J857" s="485"/>
    </row>
    <row r="858" spans="1:10" ht="14.25" customHeight="1">
      <c r="A858" s="485"/>
      <c r="B858" s="486"/>
      <c r="C858" s="486"/>
      <c r="D858" s="487"/>
      <c r="E858" s="485"/>
      <c r="F858" s="487"/>
      <c r="J858" s="485"/>
    </row>
    <row r="859" spans="1:10" ht="14.25" customHeight="1">
      <c r="A859" s="485"/>
      <c r="B859" s="486"/>
      <c r="C859" s="486"/>
      <c r="D859" s="487"/>
      <c r="E859" s="485"/>
      <c r="F859" s="487"/>
      <c r="J859" s="485"/>
    </row>
    <row r="860" spans="1:10" ht="14.25" customHeight="1">
      <c r="A860" s="485"/>
      <c r="B860" s="486"/>
      <c r="C860" s="486"/>
      <c r="D860" s="487"/>
      <c r="E860" s="485"/>
      <c r="F860" s="487"/>
      <c r="J860" s="485"/>
    </row>
    <row r="861" spans="1:10" ht="14.25" customHeight="1">
      <c r="A861" s="485"/>
      <c r="B861" s="486"/>
      <c r="C861" s="486"/>
      <c r="D861" s="487"/>
      <c r="E861" s="485"/>
      <c r="F861" s="487"/>
      <c r="J861" s="485"/>
    </row>
    <row r="862" spans="1:10" ht="14.25" customHeight="1">
      <c r="A862" s="485"/>
      <c r="B862" s="486"/>
      <c r="C862" s="486"/>
      <c r="D862" s="487"/>
      <c r="E862" s="485"/>
      <c r="F862" s="487"/>
      <c r="J862" s="485"/>
    </row>
    <row r="863" spans="1:10" ht="14.25" customHeight="1">
      <c r="A863" s="485"/>
      <c r="B863" s="486"/>
      <c r="C863" s="486"/>
      <c r="D863" s="487"/>
      <c r="E863" s="485"/>
      <c r="F863" s="487"/>
      <c r="J863" s="485"/>
    </row>
    <row r="864" spans="1:10" ht="14.25" customHeight="1">
      <c r="A864" s="485"/>
      <c r="B864" s="486"/>
      <c r="C864" s="486"/>
      <c r="D864" s="487"/>
      <c r="E864" s="485"/>
      <c r="F864" s="487"/>
      <c r="J864" s="485"/>
    </row>
    <row r="865" spans="1:10" ht="14.25" customHeight="1">
      <c r="A865" s="485"/>
      <c r="B865" s="486"/>
      <c r="C865" s="486"/>
      <c r="D865" s="487"/>
      <c r="E865" s="485"/>
      <c r="F865" s="487"/>
      <c r="J865" s="485"/>
    </row>
    <row r="866" spans="1:10" ht="14.25" customHeight="1">
      <c r="A866" s="485"/>
      <c r="B866" s="486"/>
      <c r="C866" s="486"/>
      <c r="D866" s="487"/>
      <c r="E866" s="485"/>
      <c r="F866" s="487"/>
      <c r="J866" s="485"/>
    </row>
    <row r="867" spans="1:10" ht="14.25" customHeight="1">
      <c r="A867" s="485"/>
      <c r="B867" s="486"/>
      <c r="C867" s="486"/>
      <c r="D867" s="487"/>
      <c r="E867" s="485"/>
      <c r="F867" s="487"/>
      <c r="J867" s="485"/>
    </row>
    <row r="868" spans="1:10" ht="14.25" customHeight="1">
      <c r="A868" s="485"/>
      <c r="B868" s="486"/>
      <c r="C868" s="486"/>
      <c r="D868" s="487"/>
      <c r="E868" s="485"/>
      <c r="F868" s="487"/>
      <c r="J868" s="485"/>
    </row>
    <row r="869" spans="1:10" ht="14.25" customHeight="1">
      <c r="A869" s="485"/>
      <c r="B869" s="486"/>
      <c r="C869" s="486"/>
      <c r="D869" s="487"/>
      <c r="E869" s="485"/>
      <c r="F869" s="487"/>
      <c r="J869" s="485"/>
    </row>
    <row r="870" spans="1:10" ht="14.25" customHeight="1">
      <c r="A870" s="485"/>
      <c r="B870" s="486"/>
      <c r="C870" s="486"/>
      <c r="D870" s="487"/>
      <c r="E870" s="485"/>
      <c r="F870" s="487"/>
      <c r="J870" s="485"/>
    </row>
    <row r="871" spans="1:10" ht="14.25" customHeight="1">
      <c r="A871" s="485"/>
      <c r="B871" s="486"/>
      <c r="C871" s="486"/>
      <c r="D871" s="487"/>
      <c r="E871" s="485"/>
      <c r="F871" s="487"/>
      <c r="J871" s="485"/>
    </row>
    <row r="872" spans="1:10" ht="14.25" customHeight="1">
      <c r="A872" s="485"/>
      <c r="B872" s="486"/>
      <c r="C872" s="486"/>
      <c r="D872" s="487"/>
      <c r="E872" s="485"/>
      <c r="F872" s="487"/>
      <c r="J872" s="485"/>
    </row>
    <row r="873" spans="1:10" ht="14.25" customHeight="1">
      <c r="A873" s="485"/>
      <c r="B873" s="486"/>
      <c r="C873" s="486"/>
      <c r="D873" s="487"/>
      <c r="E873" s="485"/>
      <c r="F873" s="487"/>
      <c r="J873" s="485"/>
    </row>
    <row r="874" spans="1:10" ht="14.25" customHeight="1">
      <c r="A874" s="485"/>
      <c r="B874" s="486"/>
      <c r="C874" s="486"/>
      <c r="D874" s="487"/>
      <c r="E874" s="485"/>
      <c r="F874" s="487"/>
      <c r="J874" s="485"/>
    </row>
    <row r="875" spans="1:10" ht="14.25" customHeight="1">
      <c r="A875" s="485"/>
      <c r="B875" s="486"/>
      <c r="C875" s="486"/>
      <c r="D875" s="487"/>
      <c r="E875" s="485"/>
      <c r="F875" s="487"/>
      <c r="J875" s="485"/>
    </row>
    <row r="876" spans="1:10" ht="14.25" customHeight="1">
      <c r="A876" s="485"/>
      <c r="B876" s="486"/>
      <c r="C876" s="486"/>
      <c r="D876" s="487"/>
      <c r="E876" s="485"/>
      <c r="F876" s="487"/>
      <c r="J876" s="485"/>
    </row>
    <row r="877" spans="1:10" ht="14.25" customHeight="1">
      <c r="A877" s="485"/>
      <c r="B877" s="486"/>
      <c r="C877" s="486"/>
      <c r="D877" s="487"/>
      <c r="E877" s="485"/>
      <c r="F877" s="487"/>
      <c r="J877" s="485"/>
    </row>
    <row r="878" spans="1:10" ht="14.25" customHeight="1">
      <c r="A878" s="485"/>
      <c r="B878" s="486"/>
      <c r="C878" s="486"/>
      <c r="D878" s="487"/>
      <c r="E878" s="485"/>
      <c r="F878" s="487"/>
      <c r="J878" s="485"/>
    </row>
    <row r="879" spans="1:10" ht="14.25" customHeight="1">
      <c r="A879" s="485"/>
      <c r="B879" s="486"/>
      <c r="C879" s="486"/>
      <c r="D879" s="487"/>
      <c r="E879" s="485"/>
      <c r="F879" s="487"/>
      <c r="J879" s="485"/>
    </row>
    <row r="880" spans="1:10" ht="14.25" customHeight="1">
      <c r="A880" s="485"/>
      <c r="B880" s="486"/>
      <c r="C880" s="486"/>
      <c r="D880" s="487"/>
      <c r="E880" s="485"/>
      <c r="F880" s="487"/>
      <c r="J880" s="485"/>
    </row>
    <row r="881" spans="1:10" ht="14.25" customHeight="1">
      <c r="A881" s="485"/>
      <c r="B881" s="486"/>
      <c r="C881" s="486"/>
      <c r="D881" s="487"/>
      <c r="E881" s="485"/>
      <c r="F881" s="487"/>
      <c r="J881" s="485"/>
    </row>
    <row r="882" spans="1:10" ht="14.25" customHeight="1">
      <c r="A882" s="485"/>
      <c r="B882" s="486"/>
      <c r="C882" s="486"/>
      <c r="D882" s="487"/>
      <c r="E882" s="485"/>
      <c r="F882" s="487"/>
      <c r="J882" s="485"/>
    </row>
    <row r="883" spans="1:10" ht="14.25" customHeight="1">
      <c r="A883" s="485"/>
      <c r="B883" s="486"/>
      <c r="C883" s="486"/>
      <c r="D883" s="487"/>
      <c r="E883" s="485"/>
      <c r="F883" s="487"/>
      <c r="J883" s="485"/>
    </row>
    <row r="884" spans="1:10" ht="14.25" customHeight="1">
      <c r="A884" s="485"/>
      <c r="B884" s="486"/>
      <c r="C884" s="486"/>
      <c r="D884" s="487"/>
      <c r="E884" s="485"/>
      <c r="F884" s="487"/>
      <c r="J884" s="485"/>
    </row>
    <row r="885" spans="1:10" ht="14.25" customHeight="1">
      <c r="A885" s="485"/>
      <c r="B885" s="486"/>
      <c r="C885" s="486"/>
      <c r="D885" s="487"/>
      <c r="E885" s="485"/>
      <c r="F885" s="487"/>
      <c r="J885" s="485"/>
    </row>
    <row r="886" spans="1:10" ht="14.25" customHeight="1">
      <c r="A886" s="485"/>
      <c r="B886" s="486"/>
      <c r="C886" s="486"/>
      <c r="D886" s="487"/>
      <c r="E886" s="485"/>
      <c r="F886" s="487"/>
      <c r="J886" s="485"/>
    </row>
    <row r="887" spans="1:10" ht="14.25" customHeight="1">
      <c r="A887" s="485"/>
      <c r="B887" s="486"/>
      <c r="C887" s="486"/>
      <c r="D887" s="487"/>
      <c r="E887" s="485"/>
      <c r="F887" s="487"/>
      <c r="J887" s="485"/>
    </row>
    <row r="888" spans="1:10" ht="14.25" customHeight="1">
      <c r="A888" s="485"/>
      <c r="B888" s="486"/>
      <c r="C888" s="486"/>
      <c r="D888" s="487"/>
      <c r="E888" s="485"/>
      <c r="F888" s="487"/>
      <c r="J888" s="485"/>
    </row>
    <row r="889" spans="1:10" ht="14.25" customHeight="1">
      <c r="A889" s="485"/>
      <c r="B889" s="486"/>
      <c r="C889" s="486"/>
      <c r="D889" s="487"/>
      <c r="E889" s="485"/>
      <c r="F889" s="487"/>
      <c r="J889" s="485"/>
    </row>
    <row r="890" spans="1:10" ht="14.25" customHeight="1">
      <c r="A890" s="485"/>
      <c r="B890" s="486"/>
      <c r="C890" s="486"/>
      <c r="D890" s="487"/>
      <c r="E890" s="485"/>
      <c r="F890" s="487"/>
      <c r="J890" s="485"/>
    </row>
    <row r="891" spans="1:10" ht="14.25" customHeight="1">
      <c r="A891" s="485"/>
      <c r="B891" s="486"/>
      <c r="C891" s="486"/>
      <c r="D891" s="487"/>
      <c r="E891" s="485"/>
      <c r="F891" s="487"/>
      <c r="J891" s="485"/>
    </row>
    <row r="892" spans="1:10" ht="14.25" customHeight="1">
      <c r="A892" s="485"/>
      <c r="B892" s="486"/>
      <c r="C892" s="486"/>
      <c r="D892" s="487"/>
      <c r="E892" s="485"/>
      <c r="F892" s="487"/>
      <c r="J892" s="485"/>
    </row>
    <row r="893" spans="1:10" ht="14.25" customHeight="1">
      <c r="A893" s="485"/>
      <c r="B893" s="486"/>
      <c r="C893" s="486"/>
      <c r="D893" s="487"/>
      <c r="E893" s="485"/>
      <c r="F893" s="487"/>
      <c r="J893" s="485"/>
    </row>
    <row r="894" spans="1:10" ht="14.25" customHeight="1">
      <c r="A894" s="485"/>
      <c r="B894" s="486"/>
      <c r="C894" s="486"/>
      <c r="D894" s="487"/>
      <c r="E894" s="485"/>
      <c r="F894" s="487"/>
      <c r="J894" s="485"/>
    </row>
    <row r="895" spans="1:10" ht="14.25" customHeight="1">
      <c r="A895" s="485"/>
      <c r="B895" s="486"/>
      <c r="C895" s="486"/>
      <c r="D895" s="487"/>
      <c r="E895" s="485"/>
      <c r="F895" s="487"/>
      <c r="J895" s="485"/>
    </row>
    <row r="896" spans="1:10" ht="14.25" customHeight="1">
      <c r="A896" s="485"/>
      <c r="B896" s="486"/>
      <c r="C896" s="486"/>
      <c r="D896" s="487"/>
      <c r="E896" s="485"/>
      <c r="F896" s="487"/>
      <c r="J896" s="485"/>
    </row>
    <row r="897" spans="1:10" ht="14.25" customHeight="1">
      <c r="A897" s="485"/>
      <c r="B897" s="486"/>
      <c r="C897" s="486"/>
      <c r="D897" s="487"/>
      <c r="E897" s="485"/>
      <c r="F897" s="487"/>
      <c r="J897" s="485"/>
    </row>
    <row r="898" spans="1:10" ht="14.25" customHeight="1">
      <c r="A898" s="485"/>
      <c r="B898" s="486"/>
      <c r="C898" s="486"/>
      <c r="D898" s="487"/>
      <c r="E898" s="485"/>
      <c r="F898" s="487"/>
      <c r="J898" s="485"/>
    </row>
    <row r="899" spans="1:10" ht="14.25" customHeight="1">
      <c r="A899" s="485"/>
      <c r="B899" s="486"/>
      <c r="C899" s="486"/>
      <c r="D899" s="487"/>
      <c r="E899" s="485"/>
      <c r="F899" s="487"/>
      <c r="J899" s="485"/>
    </row>
    <row r="900" spans="1:10" ht="14.25" customHeight="1">
      <c r="A900" s="485"/>
      <c r="B900" s="486"/>
      <c r="C900" s="486"/>
      <c r="D900" s="487"/>
      <c r="E900" s="485"/>
      <c r="F900" s="487"/>
      <c r="J900" s="485"/>
    </row>
    <row r="901" spans="1:10" ht="14.25" customHeight="1">
      <c r="A901" s="485"/>
      <c r="B901" s="486"/>
      <c r="C901" s="486"/>
      <c r="D901" s="487"/>
      <c r="E901" s="485"/>
      <c r="F901" s="487"/>
      <c r="J901" s="485"/>
    </row>
    <row r="902" spans="1:10" ht="14.25" customHeight="1">
      <c r="A902" s="485"/>
      <c r="B902" s="486"/>
      <c r="C902" s="486"/>
      <c r="D902" s="487"/>
      <c r="E902" s="485"/>
      <c r="F902" s="487"/>
      <c r="J902" s="485"/>
    </row>
    <row r="903" spans="1:10" ht="14.25" customHeight="1">
      <c r="A903" s="485"/>
      <c r="B903" s="486"/>
      <c r="C903" s="486"/>
      <c r="D903" s="487"/>
      <c r="E903" s="485"/>
      <c r="F903" s="487"/>
      <c r="J903" s="485"/>
    </row>
    <row r="904" spans="1:10" ht="14.25" customHeight="1">
      <c r="A904" s="485"/>
      <c r="B904" s="486"/>
      <c r="C904" s="486"/>
      <c r="D904" s="487"/>
      <c r="E904" s="485"/>
      <c r="F904" s="487"/>
      <c r="J904" s="485"/>
    </row>
    <row r="905" spans="1:10" ht="14.25" customHeight="1">
      <c r="A905" s="485"/>
      <c r="B905" s="486"/>
      <c r="C905" s="486"/>
      <c r="D905" s="487"/>
      <c r="E905" s="485"/>
      <c r="F905" s="487"/>
      <c r="J905" s="485"/>
    </row>
    <row r="906" spans="1:10" ht="14.25" customHeight="1">
      <c r="A906" s="485"/>
      <c r="B906" s="486"/>
      <c r="C906" s="486"/>
      <c r="D906" s="487"/>
      <c r="E906" s="485"/>
      <c r="F906" s="487"/>
      <c r="J906" s="485"/>
    </row>
    <row r="907" spans="1:10" ht="14.25" customHeight="1">
      <c r="A907" s="485"/>
      <c r="B907" s="486"/>
      <c r="C907" s="486"/>
      <c r="D907" s="487"/>
      <c r="E907" s="485"/>
      <c r="F907" s="487"/>
      <c r="J907" s="485"/>
    </row>
    <row r="908" spans="1:10" ht="14.25" customHeight="1">
      <c r="A908" s="485"/>
      <c r="B908" s="486"/>
      <c r="C908" s="486"/>
      <c r="D908" s="487"/>
      <c r="E908" s="485"/>
      <c r="F908" s="487"/>
      <c r="J908" s="485"/>
    </row>
    <row r="909" spans="1:10" ht="14.25" customHeight="1">
      <c r="A909" s="485"/>
      <c r="B909" s="486"/>
      <c r="C909" s="486"/>
      <c r="D909" s="487"/>
      <c r="E909" s="485"/>
      <c r="F909" s="487"/>
      <c r="J909" s="485"/>
    </row>
    <row r="910" spans="1:10" ht="14.25" customHeight="1">
      <c r="A910" s="485"/>
      <c r="B910" s="486"/>
      <c r="C910" s="486"/>
      <c r="D910" s="487"/>
      <c r="E910" s="485"/>
      <c r="F910" s="487"/>
      <c r="J910" s="485"/>
    </row>
    <row r="911" spans="1:10" ht="14.25" customHeight="1">
      <c r="A911" s="485"/>
      <c r="B911" s="486"/>
      <c r="C911" s="486"/>
      <c r="D911" s="487"/>
      <c r="E911" s="485"/>
      <c r="F911" s="487"/>
      <c r="J911" s="485"/>
    </row>
    <row r="912" spans="1:10" ht="14.25" customHeight="1">
      <c r="A912" s="485"/>
      <c r="B912" s="486"/>
      <c r="C912" s="486"/>
      <c r="D912" s="487"/>
      <c r="E912" s="485"/>
      <c r="F912" s="487"/>
      <c r="J912" s="485"/>
    </row>
    <row r="913" spans="1:10" ht="14.25" customHeight="1">
      <c r="A913" s="485"/>
      <c r="B913" s="486"/>
      <c r="C913" s="486"/>
      <c r="D913" s="487"/>
      <c r="E913" s="485"/>
      <c r="F913" s="487"/>
      <c r="J913" s="485"/>
    </row>
    <row r="914" spans="1:10" ht="14.25" customHeight="1">
      <c r="A914" s="485"/>
      <c r="B914" s="486"/>
      <c r="C914" s="486"/>
      <c r="D914" s="487"/>
      <c r="E914" s="485"/>
      <c r="F914" s="487"/>
      <c r="J914" s="485"/>
    </row>
    <row r="915" spans="1:10" ht="14.25" customHeight="1">
      <c r="A915" s="485"/>
      <c r="B915" s="486"/>
      <c r="C915" s="486"/>
      <c r="D915" s="487"/>
      <c r="E915" s="485"/>
      <c r="F915" s="487"/>
      <c r="J915" s="485"/>
    </row>
    <row r="916" spans="1:10" ht="14.25" customHeight="1">
      <c r="A916" s="485"/>
      <c r="B916" s="486"/>
      <c r="C916" s="486"/>
      <c r="D916" s="487"/>
      <c r="E916" s="485"/>
      <c r="F916" s="487"/>
      <c r="J916" s="485"/>
    </row>
    <row r="917" spans="1:10" ht="14.25" customHeight="1">
      <c r="A917" s="485"/>
      <c r="B917" s="486"/>
      <c r="C917" s="486"/>
      <c r="D917" s="487"/>
      <c r="E917" s="485"/>
      <c r="F917" s="487"/>
      <c r="J917" s="485"/>
    </row>
    <row r="918" spans="1:10" ht="14.25" customHeight="1">
      <c r="A918" s="485"/>
      <c r="B918" s="486"/>
      <c r="C918" s="486"/>
      <c r="D918" s="487"/>
      <c r="E918" s="485"/>
      <c r="F918" s="487"/>
      <c r="J918" s="485"/>
    </row>
    <row r="919" spans="1:10" ht="14.25" customHeight="1">
      <c r="A919" s="485"/>
      <c r="B919" s="486"/>
      <c r="C919" s="486"/>
      <c r="D919" s="487"/>
      <c r="E919" s="485"/>
      <c r="F919" s="487"/>
      <c r="J919" s="485"/>
    </row>
    <row r="920" spans="1:10" ht="14.25" customHeight="1">
      <c r="A920" s="485"/>
      <c r="B920" s="486"/>
      <c r="C920" s="486"/>
      <c r="D920" s="487"/>
      <c r="E920" s="485"/>
      <c r="F920" s="487"/>
      <c r="J920" s="485"/>
    </row>
    <row r="921" spans="1:10" ht="14.25" customHeight="1">
      <c r="A921" s="485"/>
      <c r="B921" s="486"/>
      <c r="C921" s="486"/>
      <c r="D921" s="487"/>
      <c r="E921" s="485"/>
      <c r="F921" s="487"/>
      <c r="J921" s="485"/>
    </row>
    <row r="922" spans="1:10" ht="14.25" customHeight="1">
      <c r="A922" s="485"/>
      <c r="B922" s="486"/>
      <c r="C922" s="486"/>
      <c r="D922" s="487"/>
      <c r="E922" s="485"/>
      <c r="F922" s="487"/>
      <c r="J922" s="485"/>
    </row>
    <row r="923" spans="1:10" ht="14.25" customHeight="1">
      <c r="A923" s="485"/>
      <c r="B923" s="486"/>
      <c r="C923" s="486"/>
      <c r="D923" s="487"/>
      <c r="E923" s="485"/>
      <c r="F923" s="487"/>
      <c r="J923" s="485"/>
    </row>
    <row r="924" spans="1:10" ht="14.25" customHeight="1">
      <c r="A924" s="485"/>
      <c r="B924" s="486"/>
      <c r="C924" s="486"/>
      <c r="D924" s="487"/>
      <c r="E924" s="485"/>
      <c r="F924" s="487"/>
      <c r="J924" s="485"/>
    </row>
    <row r="925" spans="1:10" ht="14.25" customHeight="1">
      <c r="A925" s="485"/>
      <c r="B925" s="486"/>
      <c r="C925" s="486"/>
      <c r="D925" s="487"/>
      <c r="E925" s="485"/>
      <c r="F925" s="487"/>
      <c r="J925" s="485"/>
    </row>
    <row r="926" spans="1:10" ht="14.25" customHeight="1">
      <c r="A926" s="485"/>
      <c r="B926" s="486"/>
      <c r="C926" s="486"/>
      <c r="D926" s="487"/>
      <c r="E926" s="485"/>
      <c r="F926" s="487"/>
      <c r="J926" s="485"/>
    </row>
    <row r="927" spans="1:10" ht="14.25" customHeight="1">
      <c r="A927" s="485"/>
      <c r="B927" s="486"/>
      <c r="C927" s="486"/>
      <c r="D927" s="487"/>
      <c r="E927" s="485"/>
      <c r="F927" s="487"/>
      <c r="J927" s="485"/>
    </row>
    <row r="928" spans="1:10" ht="14.25" customHeight="1">
      <c r="A928" s="485"/>
      <c r="B928" s="486"/>
      <c r="C928" s="486"/>
      <c r="D928" s="487"/>
      <c r="E928" s="485"/>
      <c r="F928" s="487"/>
      <c r="J928" s="485"/>
    </row>
    <row r="929" spans="1:10" ht="14.25" customHeight="1">
      <c r="A929" s="485"/>
      <c r="B929" s="486"/>
      <c r="C929" s="486"/>
      <c r="D929" s="487"/>
      <c r="E929" s="485"/>
      <c r="F929" s="487"/>
      <c r="J929" s="485"/>
    </row>
    <row r="930" spans="1:10" ht="14.25" customHeight="1">
      <c r="A930" s="485"/>
      <c r="B930" s="486"/>
      <c r="C930" s="486"/>
      <c r="D930" s="487"/>
      <c r="E930" s="485"/>
      <c r="F930" s="487"/>
      <c r="J930" s="485"/>
    </row>
    <row r="931" spans="1:10" ht="14.25" customHeight="1">
      <c r="A931" s="485"/>
      <c r="B931" s="486"/>
      <c r="C931" s="486"/>
      <c r="D931" s="487"/>
      <c r="E931" s="485"/>
      <c r="F931" s="487"/>
      <c r="J931" s="485"/>
    </row>
    <row r="932" spans="1:10" ht="14.25" customHeight="1">
      <c r="A932" s="485"/>
      <c r="B932" s="486"/>
      <c r="C932" s="486"/>
      <c r="D932" s="487"/>
      <c r="E932" s="485"/>
      <c r="F932" s="487"/>
      <c r="J932" s="485"/>
    </row>
    <row r="933" spans="1:10" ht="14.25" customHeight="1">
      <c r="A933" s="485"/>
      <c r="B933" s="486"/>
      <c r="C933" s="486"/>
      <c r="D933" s="487"/>
      <c r="E933" s="485"/>
      <c r="F933" s="487"/>
      <c r="J933" s="485"/>
    </row>
    <row r="934" spans="1:10" ht="14.25" customHeight="1">
      <c r="A934" s="485"/>
      <c r="B934" s="486"/>
      <c r="C934" s="486"/>
      <c r="D934" s="487"/>
      <c r="E934" s="485"/>
      <c r="F934" s="487"/>
      <c r="J934" s="485"/>
    </row>
    <row r="935" spans="1:10" ht="14.25" customHeight="1">
      <c r="A935" s="485"/>
      <c r="B935" s="486"/>
      <c r="C935" s="486"/>
      <c r="D935" s="487"/>
      <c r="E935" s="485"/>
      <c r="F935" s="487"/>
      <c r="J935" s="485"/>
    </row>
    <row r="936" spans="1:10" ht="14.25" customHeight="1">
      <c r="A936" s="485"/>
      <c r="B936" s="486"/>
      <c r="C936" s="486"/>
      <c r="D936" s="487"/>
      <c r="E936" s="485"/>
      <c r="F936" s="487"/>
      <c r="J936" s="485"/>
    </row>
    <row r="937" spans="1:10" ht="14.25" customHeight="1">
      <c r="A937" s="485"/>
      <c r="B937" s="486"/>
      <c r="C937" s="486"/>
      <c r="D937" s="487"/>
      <c r="E937" s="485"/>
      <c r="F937" s="487"/>
      <c r="J937" s="485"/>
    </row>
    <row r="938" spans="1:10" ht="14.25" customHeight="1">
      <c r="A938" s="485"/>
      <c r="B938" s="486"/>
      <c r="C938" s="486"/>
      <c r="D938" s="487"/>
      <c r="E938" s="485"/>
      <c r="F938" s="487"/>
      <c r="J938" s="485"/>
    </row>
    <row r="939" spans="1:10" ht="14.25" customHeight="1">
      <c r="A939" s="485"/>
      <c r="B939" s="486"/>
      <c r="C939" s="486"/>
      <c r="D939" s="487"/>
      <c r="E939" s="485"/>
      <c r="F939" s="487"/>
      <c r="J939" s="485"/>
    </row>
    <row r="940" spans="1:10" ht="14.25" customHeight="1">
      <c r="A940" s="485"/>
      <c r="B940" s="486"/>
      <c r="C940" s="486"/>
      <c r="D940" s="487"/>
      <c r="E940" s="485"/>
      <c r="F940" s="487"/>
      <c r="J940" s="485"/>
    </row>
    <row r="941" spans="1:10" ht="14.25" customHeight="1">
      <c r="A941" s="485"/>
      <c r="B941" s="486"/>
      <c r="C941" s="486"/>
      <c r="D941" s="487"/>
      <c r="E941" s="485"/>
      <c r="F941" s="487"/>
      <c r="J941" s="485"/>
    </row>
    <row r="942" spans="1:10" ht="14.25" customHeight="1">
      <c r="A942" s="485"/>
      <c r="B942" s="486"/>
      <c r="C942" s="486"/>
      <c r="D942" s="487"/>
      <c r="E942" s="485"/>
      <c r="F942" s="487"/>
      <c r="J942" s="485"/>
    </row>
    <row r="943" spans="1:10" ht="14.25" customHeight="1">
      <c r="A943" s="485"/>
      <c r="B943" s="486"/>
      <c r="C943" s="486"/>
      <c r="D943" s="487"/>
      <c r="E943" s="485"/>
      <c r="F943" s="487"/>
      <c r="J943" s="485"/>
    </row>
    <row r="944" spans="1:10" ht="14.25" customHeight="1">
      <c r="A944" s="485"/>
      <c r="B944" s="486"/>
      <c r="C944" s="486"/>
      <c r="D944" s="487"/>
      <c r="E944" s="485"/>
      <c r="F944" s="487"/>
      <c r="J944" s="485"/>
    </row>
    <row r="945" spans="1:10" ht="14.25" customHeight="1">
      <c r="A945" s="485"/>
      <c r="B945" s="486"/>
      <c r="C945" s="486"/>
      <c r="D945" s="487"/>
      <c r="E945" s="485"/>
      <c r="F945" s="487"/>
      <c r="J945" s="485"/>
    </row>
    <row r="946" spans="1:10" ht="14.25" customHeight="1">
      <c r="A946" s="485"/>
      <c r="B946" s="486"/>
      <c r="C946" s="486"/>
      <c r="D946" s="487"/>
      <c r="E946" s="485"/>
      <c r="F946" s="487"/>
      <c r="J946" s="485"/>
    </row>
    <row r="947" spans="1:10" ht="14.25" customHeight="1">
      <c r="A947" s="485"/>
      <c r="B947" s="486"/>
      <c r="C947" s="486"/>
      <c r="D947" s="487"/>
      <c r="E947" s="485"/>
      <c r="F947" s="487"/>
      <c r="J947" s="485"/>
    </row>
    <row r="948" spans="1:10" ht="14.25" customHeight="1">
      <c r="A948" s="485"/>
      <c r="B948" s="486"/>
      <c r="C948" s="486"/>
      <c r="D948" s="487"/>
      <c r="E948" s="485"/>
      <c r="F948" s="487"/>
      <c r="J948" s="485"/>
    </row>
    <row r="949" spans="1:10" ht="14.25" customHeight="1">
      <c r="A949" s="485"/>
      <c r="B949" s="486"/>
      <c r="C949" s="486"/>
      <c r="D949" s="487"/>
      <c r="E949" s="485"/>
      <c r="F949" s="487"/>
      <c r="J949" s="485"/>
    </row>
    <row r="950" spans="1:10" ht="14.25" customHeight="1">
      <c r="A950" s="485"/>
      <c r="B950" s="486"/>
      <c r="C950" s="486"/>
      <c r="D950" s="487"/>
      <c r="E950" s="485"/>
      <c r="F950" s="487"/>
      <c r="J950" s="485"/>
    </row>
    <row r="951" spans="1:10" ht="14.25" customHeight="1">
      <c r="A951" s="485"/>
      <c r="B951" s="486"/>
      <c r="C951" s="486"/>
      <c r="D951" s="487"/>
      <c r="E951" s="485"/>
      <c r="F951" s="487"/>
      <c r="J951" s="485"/>
    </row>
    <row r="952" spans="1:10" ht="14.25" customHeight="1">
      <c r="A952" s="485"/>
      <c r="B952" s="486"/>
      <c r="C952" s="486"/>
      <c r="D952" s="487"/>
      <c r="E952" s="485"/>
      <c r="F952" s="487"/>
      <c r="J952" s="485"/>
    </row>
    <row r="953" spans="1:10" ht="14.25" customHeight="1">
      <c r="A953" s="485"/>
      <c r="B953" s="486"/>
      <c r="C953" s="486"/>
      <c r="D953" s="487"/>
      <c r="E953" s="485"/>
      <c r="F953" s="487"/>
      <c r="J953" s="485"/>
    </row>
    <row r="954" spans="1:10" ht="14.25" customHeight="1">
      <c r="A954" s="485"/>
      <c r="B954" s="486"/>
      <c r="C954" s="486"/>
      <c r="D954" s="487"/>
      <c r="E954" s="485"/>
      <c r="F954" s="487"/>
      <c r="J954" s="485"/>
    </row>
    <row r="955" spans="1:10" ht="14.25" customHeight="1">
      <c r="A955" s="485"/>
      <c r="B955" s="486"/>
      <c r="C955" s="486"/>
      <c r="D955" s="487"/>
      <c r="E955" s="485"/>
      <c r="F955" s="487"/>
      <c r="J955" s="485"/>
    </row>
    <row r="956" spans="1:10" ht="14.25" customHeight="1">
      <c r="A956" s="485"/>
      <c r="B956" s="486"/>
      <c r="C956" s="486"/>
      <c r="D956" s="487"/>
      <c r="E956" s="485"/>
      <c r="F956" s="487"/>
      <c r="J956" s="485"/>
    </row>
    <row r="957" spans="1:10" ht="14.25" customHeight="1">
      <c r="A957" s="485"/>
      <c r="B957" s="486"/>
      <c r="C957" s="486"/>
      <c r="D957" s="487"/>
      <c r="E957" s="485"/>
      <c r="F957" s="487"/>
      <c r="J957" s="485"/>
    </row>
    <row r="958" spans="1:10" ht="14.25" customHeight="1">
      <c r="A958" s="485"/>
      <c r="B958" s="486"/>
      <c r="C958" s="486"/>
      <c r="D958" s="487"/>
      <c r="E958" s="485"/>
      <c r="F958" s="487"/>
      <c r="J958" s="485"/>
    </row>
    <row r="959" spans="1:10" ht="14.25" customHeight="1">
      <c r="A959" s="485"/>
      <c r="B959" s="486"/>
      <c r="C959" s="486"/>
      <c r="D959" s="487"/>
      <c r="E959" s="485"/>
      <c r="F959" s="487"/>
      <c r="J959" s="485"/>
    </row>
    <row r="960" spans="1:10" ht="14.25" customHeight="1">
      <c r="A960" s="485"/>
      <c r="B960" s="486"/>
      <c r="C960" s="486"/>
      <c r="D960" s="487"/>
      <c r="E960" s="485"/>
      <c r="F960" s="487"/>
      <c r="J960" s="485"/>
    </row>
    <row r="961" spans="1:10" ht="14.25" customHeight="1">
      <c r="A961" s="485"/>
      <c r="B961" s="486"/>
      <c r="C961" s="486"/>
      <c r="D961" s="487"/>
      <c r="E961" s="485"/>
      <c r="F961" s="487"/>
      <c r="J961" s="485"/>
    </row>
    <row r="962" spans="1:10" ht="14.25" customHeight="1">
      <c r="A962" s="485"/>
      <c r="B962" s="486"/>
      <c r="C962" s="486"/>
      <c r="D962" s="487"/>
      <c r="E962" s="485"/>
      <c r="F962" s="487"/>
      <c r="J962" s="485"/>
    </row>
    <row r="963" spans="1:10" ht="14.25" customHeight="1">
      <c r="A963" s="485"/>
      <c r="B963" s="486"/>
      <c r="C963" s="486"/>
      <c r="D963" s="487"/>
      <c r="E963" s="485"/>
      <c r="F963" s="487"/>
      <c r="J963" s="485"/>
    </row>
    <row r="964" spans="1:10" ht="14.25" customHeight="1">
      <c r="A964" s="485"/>
      <c r="B964" s="486"/>
      <c r="C964" s="486"/>
      <c r="D964" s="487"/>
      <c r="E964" s="485"/>
      <c r="F964" s="487"/>
      <c r="J964" s="485"/>
    </row>
    <row r="965" spans="1:10" ht="14.25" customHeight="1">
      <c r="A965" s="485"/>
      <c r="B965" s="486"/>
      <c r="C965" s="486"/>
      <c r="D965" s="487"/>
      <c r="E965" s="485"/>
      <c r="F965" s="487"/>
      <c r="J965" s="485"/>
    </row>
    <row r="966" spans="1:10" ht="14.25" customHeight="1">
      <c r="A966" s="485"/>
      <c r="B966" s="486"/>
      <c r="C966" s="486"/>
      <c r="D966" s="487"/>
      <c r="E966" s="485"/>
      <c r="F966" s="487"/>
      <c r="J966" s="485"/>
    </row>
    <row r="967" spans="1:10" ht="14.25" customHeight="1">
      <c r="A967" s="485"/>
      <c r="B967" s="486"/>
      <c r="C967" s="486"/>
      <c r="D967" s="487"/>
      <c r="E967" s="485"/>
      <c r="F967" s="487"/>
      <c r="J967" s="485"/>
    </row>
    <row r="968" spans="1:10" ht="14.25" customHeight="1">
      <c r="A968" s="485"/>
      <c r="B968" s="486"/>
      <c r="C968" s="486"/>
      <c r="D968" s="487"/>
      <c r="E968" s="485"/>
      <c r="F968" s="487"/>
      <c r="J968" s="485"/>
    </row>
    <row r="969" spans="1:10" ht="14.25" customHeight="1">
      <c r="A969" s="485"/>
      <c r="B969" s="486"/>
      <c r="C969" s="486"/>
      <c r="D969" s="487"/>
      <c r="E969" s="485"/>
      <c r="F969" s="487"/>
      <c r="J969" s="485"/>
    </row>
    <row r="970" spans="1:10" ht="14.25" customHeight="1">
      <c r="A970" s="485"/>
      <c r="B970" s="486"/>
      <c r="C970" s="486"/>
      <c r="D970" s="487"/>
      <c r="E970" s="485"/>
      <c r="F970" s="487"/>
      <c r="J970" s="485"/>
    </row>
    <row r="971" spans="1:10" ht="14.25" customHeight="1">
      <c r="A971" s="485"/>
      <c r="B971" s="486"/>
      <c r="C971" s="486"/>
      <c r="D971" s="487"/>
      <c r="E971" s="485"/>
      <c r="F971" s="487"/>
      <c r="J971" s="485"/>
    </row>
    <row r="972" spans="1:10" ht="14.25" customHeight="1">
      <c r="A972" s="485"/>
      <c r="B972" s="486"/>
      <c r="C972" s="486"/>
      <c r="D972" s="487"/>
      <c r="E972" s="485"/>
      <c r="F972" s="487"/>
      <c r="J972" s="485"/>
    </row>
    <row r="973" spans="1:10" ht="14.25" customHeight="1">
      <c r="A973" s="485"/>
      <c r="B973" s="486"/>
      <c r="C973" s="486"/>
      <c r="D973" s="487"/>
      <c r="E973" s="485"/>
      <c r="F973" s="487"/>
      <c r="J973" s="485"/>
    </row>
    <row r="974" spans="1:10" ht="14.25" customHeight="1">
      <c r="A974" s="485"/>
      <c r="B974" s="486"/>
      <c r="C974" s="486"/>
      <c r="D974" s="487"/>
      <c r="E974" s="485"/>
      <c r="F974" s="487"/>
      <c r="J974" s="485"/>
    </row>
    <row r="975" spans="1:10" ht="14.25" customHeight="1">
      <c r="A975" s="485"/>
      <c r="B975" s="486"/>
      <c r="C975" s="486"/>
      <c r="D975" s="487"/>
      <c r="E975" s="485"/>
      <c r="F975" s="487"/>
      <c r="J975" s="485"/>
    </row>
    <row r="976" spans="1:10" ht="14.25" customHeight="1">
      <c r="A976" s="485"/>
      <c r="B976" s="486"/>
      <c r="C976" s="486"/>
      <c r="D976" s="487"/>
      <c r="E976" s="485"/>
      <c r="F976" s="487"/>
      <c r="J976" s="485"/>
    </row>
    <row r="977" spans="1:10" ht="14.25" customHeight="1">
      <c r="A977" s="485"/>
      <c r="B977" s="486"/>
      <c r="C977" s="486"/>
      <c r="D977" s="487"/>
      <c r="E977" s="485"/>
      <c r="F977" s="487"/>
      <c r="J977" s="485"/>
    </row>
    <row r="978" spans="1:10" ht="14.25" customHeight="1">
      <c r="A978" s="485"/>
      <c r="B978" s="486"/>
      <c r="C978" s="486"/>
      <c r="D978" s="487"/>
      <c r="E978" s="485"/>
      <c r="F978" s="487"/>
      <c r="J978" s="485"/>
    </row>
    <row r="979" spans="1:10" ht="14.25" customHeight="1">
      <c r="A979" s="485"/>
      <c r="B979" s="486"/>
      <c r="C979" s="486"/>
      <c r="D979" s="487"/>
      <c r="E979" s="485"/>
      <c r="F979" s="487"/>
      <c r="J979" s="485"/>
    </row>
    <row r="980" spans="1:10" ht="14.25" customHeight="1">
      <c r="A980" s="485"/>
      <c r="B980" s="486"/>
      <c r="C980" s="486"/>
      <c r="D980" s="487"/>
      <c r="E980" s="485"/>
      <c r="F980" s="487"/>
      <c r="J980" s="485"/>
    </row>
    <row r="981" spans="1:10" ht="14.25" customHeight="1">
      <c r="A981" s="485"/>
      <c r="B981" s="486"/>
      <c r="C981" s="486"/>
      <c r="D981" s="487"/>
      <c r="E981" s="485"/>
      <c r="F981" s="487"/>
      <c r="J981" s="485"/>
    </row>
    <row r="982" spans="1:10" ht="14.25" customHeight="1">
      <c r="A982" s="485"/>
      <c r="B982" s="486"/>
      <c r="C982" s="486"/>
      <c r="D982" s="487"/>
      <c r="E982" s="485"/>
      <c r="F982" s="487"/>
      <c r="J982" s="485"/>
    </row>
    <row r="983" spans="1:10" ht="14.25" customHeight="1">
      <c r="A983" s="485"/>
      <c r="B983" s="486"/>
      <c r="C983" s="486"/>
      <c r="D983" s="487"/>
      <c r="E983" s="485"/>
      <c r="F983" s="487"/>
      <c r="J983" s="485"/>
    </row>
    <row r="984" spans="1:10" ht="14.25" customHeight="1">
      <c r="A984" s="485"/>
      <c r="B984" s="486"/>
      <c r="C984" s="486"/>
      <c r="D984" s="487"/>
      <c r="E984" s="485"/>
      <c r="F984" s="487"/>
      <c r="J984" s="485"/>
    </row>
    <row r="985" spans="1:10" ht="14.25" customHeight="1">
      <c r="A985" s="485"/>
      <c r="B985" s="486"/>
      <c r="C985" s="486"/>
      <c r="D985" s="487"/>
      <c r="E985" s="485"/>
      <c r="F985" s="487"/>
      <c r="J985" s="485"/>
    </row>
    <row r="986" spans="1:10" ht="14.25" customHeight="1">
      <c r="A986" s="485"/>
      <c r="B986" s="486"/>
      <c r="C986" s="486"/>
      <c r="D986" s="487"/>
      <c r="E986" s="485"/>
      <c r="F986" s="487"/>
      <c r="J986" s="485"/>
    </row>
    <row r="987" spans="1:10" ht="14.25" customHeight="1">
      <c r="A987" s="485"/>
      <c r="B987" s="486"/>
      <c r="C987" s="486"/>
      <c r="D987" s="487"/>
      <c r="E987" s="485"/>
      <c r="F987" s="487"/>
      <c r="J987" s="485"/>
    </row>
    <row r="988" spans="1:10" ht="14.25" customHeight="1">
      <c r="A988" s="485"/>
      <c r="B988" s="486"/>
      <c r="C988" s="486"/>
      <c r="D988" s="487"/>
      <c r="E988" s="485"/>
      <c r="F988" s="487"/>
      <c r="J988" s="485"/>
    </row>
    <row r="989" spans="1:10" ht="14.25" customHeight="1">
      <c r="A989" s="485"/>
      <c r="B989" s="486"/>
      <c r="C989" s="486"/>
      <c r="D989" s="487"/>
      <c r="E989" s="485"/>
      <c r="F989" s="487"/>
      <c r="J989" s="485"/>
    </row>
    <row r="990" spans="1:10" ht="14.25" customHeight="1">
      <c r="A990" s="485"/>
      <c r="B990" s="486"/>
      <c r="C990" s="486"/>
      <c r="D990" s="487"/>
      <c r="E990" s="485"/>
      <c r="F990" s="487"/>
      <c r="J990" s="485"/>
    </row>
    <row r="991" spans="1:10" ht="14.25" customHeight="1">
      <c r="A991" s="485"/>
      <c r="B991" s="486"/>
      <c r="C991" s="486"/>
      <c r="D991" s="487"/>
      <c r="E991" s="485"/>
      <c r="F991" s="487"/>
      <c r="J991" s="485"/>
    </row>
    <row r="992" spans="1:10" ht="14.25" customHeight="1">
      <c r="A992" s="485"/>
      <c r="B992" s="486"/>
      <c r="C992" s="486"/>
      <c r="D992" s="487"/>
      <c r="E992" s="485"/>
      <c r="F992" s="487"/>
      <c r="J992" s="485"/>
    </row>
    <row r="993" spans="1:10" ht="14.25" customHeight="1">
      <c r="A993" s="485"/>
      <c r="B993" s="486"/>
      <c r="C993" s="486"/>
      <c r="D993" s="487"/>
      <c r="E993" s="485"/>
      <c r="F993" s="487"/>
      <c r="J993" s="485"/>
    </row>
    <row r="994" spans="1:10" ht="14.25" customHeight="1">
      <c r="A994" s="485"/>
      <c r="B994" s="486"/>
      <c r="C994" s="486"/>
      <c r="D994" s="487"/>
      <c r="E994" s="485"/>
      <c r="F994" s="487"/>
      <c r="J994" s="485"/>
    </row>
    <row r="995" spans="1:10" ht="14.25" customHeight="1">
      <c r="A995" s="485"/>
      <c r="B995" s="486"/>
      <c r="C995" s="486"/>
      <c r="D995" s="487"/>
      <c r="E995" s="485"/>
      <c r="F995" s="487"/>
      <c r="J995" s="485"/>
    </row>
    <row r="996" spans="1:10" ht="14.25" customHeight="1">
      <c r="A996" s="485"/>
      <c r="B996" s="486"/>
      <c r="C996" s="486"/>
      <c r="D996" s="487"/>
      <c r="E996" s="485"/>
      <c r="F996" s="487"/>
      <c r="J996" s="485"/>
    </row>
    <row r="997" spans="1:10" ht="14.25" customHeight="1">
      <c r="A997" s="485"/>
      <c r="B997" s="486"/>
      <c r="C997" s="486"/>
      <c r="D997" s="487"/>
      <c r="E997" s="485"/>
      <c r="F997" s="487"/>
      <c r="J997" s="485"/>
    </row>
    <row r="998" spans="1:10" ht="14.25" customHeight="1">
      <c r="A998" s="485"/>
      <c r="B998" s="486"/>
      <c r="C998" s="486"/>
      <c r="D998" s="487"/>
      <c r="E998" s="485"/>
      <c r="F998" s="487"/>
      <c r="J998" s="485"/>
    </row>
    <row r="999" spans="1:10" ht="14.25" customHeight="1">
      <c r="A999" s="485"/>
      <c r="B999" s="486"/>
      <c r="C999" s="486"/>
      <c r="D999" s="487"/>
      <c r="E999" s="485"/>
      <c r="F999" s="487"/>
      <c r="J999" s="485"/>
    </row>
    <row r="1000" spans="1:10" ht="14.25" customHeight="1">
      <c r="A1000" s="485"/>
      <c r="B1000" s="486"/>
      <c r="C1000" s="486"/>
      <c r="D1000" s="487"/>
      <c r="E1000" s="485"/>
      <c r="F1000" s="487"/>
      <c r="J1000" s="485"/>
    </row>
    <row r="1001" spans="1:10" ht="14.25" customHeight="1">
      <c r="A1001" s="485"/>
      <c r="B1001" s="486"/>
      <c r="C1001" s="486"/>
      <c r="D1001" s="487"/>
      <c r="E1001" s="485"/>
      <c r="F1001" s="487"/>
      <c r="J1001" s="485"/>
    </row>
    <row r="1002" spans="1:10" ht="14.25" customHeight="1">
      <c r="A1002" s="485"/>
      <c r="B1002" s="486"/>
      <c r="C1002" s="486"/>
      <c r="D1002" s="487"/>
      <c r="E1002" s="485"/>
      <c r="F1002" s="487"/>
      <c r="J1002" s="485"/>
    </row>
    <row r="1003" spans="1:10" ht="14.25" customHeight="1">
      <c r="A1003" s="485"/>
      <c r="B1003" s="486"/>
      <c r="C1003" s="486"/>
      <c r="D1003" s="487"/>
      <c r="E1003" s="485"/>
      <c r="F1003" s="487"/>
      <c r="J1003" s="485"/>
    </row>
    <row r="1004" spans="1:10" ht="14.25" customHeight="1">
      <c r="A1004" s="485"/>
      <c r="B1004" s="486"/>
      <c r="C1004" s="486"/>
      <c r="D1004" s="487"/>
      <c r="E1004" s="485"/>
      <c r="F1004" s="487"/>
      <c r="J1004" s="485"/>
    </row>
    <row r="1005" spans="1:10" ht="14.25" customHeight="1">
      <c r="A1005" s="485"/>
      <c r="B1005" s="486"/>
      <c r="C1005" s="486"/>
      <c r="D1005" s="487"/>
      <c r="E1005" s="485"/>
      <c r="F1005" s="487"/>
      <c r="J1005" s="485"/>
    </row>
    <row r="1006" spans="1:10" ht="14.25" customHeight="1">
      <c r="A1006" s="485"/>
      <c r="B1006" s="486"/>
      <c r="C1006" s="486"/>
      <c r="D1006" s="487"/>
      <c r="E1006" s="485"/>
      <c r="F1006" s="487"/>
      <c r="J1006" s="485"/>
    </row>
    <row r="1007" spans="1:10" ht="14.25" customHeight="1">
      <c r="A1007" s="485"/>
      <c r="B1007" s="486"/>
      <c r="C1007" s="486"/>
      <c r="D1007" s="487"/>
      <c r="E1007" s="485"/>
      <c r="F1007" s="487"/>
      <c r="J1007" s="485"/>
    </row>
    <row r="1008" spans="1:10" ht="14.25" customHeight="1">
      <c r="A1008" s="485"/>
      <c r="B1008" s="486"/>
      <c r="C1008" s="486"/>
      <c r="D1008" s="487"/>
      <c r="E1008" s="485"/>
      <c r="F1008" s="487"/>
      <c r="J1008" s="485"/>
    </row>
    <row r="1009" spans="1:10" ht="14.25" customHeight="1">
      <c r="A1009" s="485"/>
      <c r="B1009" s="486"/>
      <c r="C1009" s="486"/>
      <c r="D1009" s="487"/>
      <c r="E1009" s="485"/>
      <c r="F1009" s="487"/>
      <c r="J1009" s="485"/>
    </row>
    <row r="1010" spans="1:10" ht="14.25" customHeight="1">
      <c r="A1010" s="485"/>
      <c r="B1010" s="486"/>
      <c r="C1010" s="486"/>
      <c r="D1010" s="487"/>
      <c r="E1010" s="485"/>
      <c r="F1010" s="487"/>
      <c r="J1010" s="485"/>
    </row>
    <row r="1011" spans="1:10" ht="14.25" customHeight="1">
      <c r="A1011" s="485"/>
      <c r="B1011" s="486"/>
      <c r="C1011" s="486"/>
      <c r="D1011" s="487"/>
      <c r="E1011" s="485"/>
      <c r="F1011" s="487"/>
      <c r="J1011" s="485"/>
    </row>
    <row r="1012" spans="1:10" ht="14.25" customHeight="1">
      <c r="A1012" s="485"/>
      <c r="B1012" s="486"/>
      <c r="C1012" s="486"/>
      <c r="D1012" s="487"/>
      <c r="E1012" s="485"/>
      <c r="F1012" s="487"/>
      <c r="J1012" s="485"/>
    </row>
    <row r="1013" spans="1:10" ht="14.25" customHeight="1">
      <c r="A1013" s="485"/>
      <c r="B1013" s="486"/>
      <c r="C1013" s="486"/>
      <c r="D1013" s="487"/>
      <c r="E1013" s="485"/>
      <c r="F1013" s="487"/>
      <c r="J1013" s="485"/>
    </row>
    <row r="1014" spans="1:10" ht="14.25" customHeight="1">
      <c r="A1014" s="485"/>
      <c r="B1014" s="486"/>
      <c r="C1014" s="486"/>
      <c r="D1014" s="487"/>
      <c r="E1014" s="485"/>
      <c r="F1014" s="487"/>
      <c r="J1014" s="485"/>
    </row>
    <row r="1015" spans="1:10" ht="14.25" customHeight="1">
      <c r="A1015" s="485"/>
      <c r="B1015" s="486"/>
      <c r="C1015" s="486"/>
      <c r="D1015" s="487"/>
      <c r="E1015" s="485"/>
      <c r="F1015" s="487"/>
      <c r="J1015" s="485"/>
    </row>
    <row r="1016" spans="1:10" ht="14.25" customHeight="1">
      <c r="A1016" s="485"/>
      <c r="B1016" s="486"/>
      <c r="C1016" s="486"/>
      <c r="D1016" s="487"/>
      <c r="E1016" s="485"/>
      <c r="F1016" s="487"/>
      <c r="J1016" s="485"/>
    </row>
    <row r="1017" spans="1:10" ht="14.25" customHeight="1">
      <c r="A1017" s="485"/>
      <c r="B1017" s="486"/>
      <c r="C1017" s="486"/>
      <c r="D1017" s="487"/>
      <c r="E1017" s="485"/>
      <c r="F1017" s="487"/>
      <c r="J1017" s="485"/>
    </row>
    <row r="1018" spans="1:10" ht="14.25" customHeight="1">
      <c r="A1018" s="485"/>
      <c r="B1018" s="486"/>
      <c r="C1018" s="486"/>
      <c r="D1018" s="487"/>
      <c r="E1018" s="485"/>
      <c r="F1018" s="487"/>
      <c r="J1018" s="485"/>
    </row>
    <row r="1019" spans="1:10" ht="14.25" customHeight="1">
      <c r="A1019" s="485"/>
      <c r="B1019" s="486"/>
      <c r="C1019" s="486"/>
      <c r="D1019" s="487"/>
      <c r="E1019" s="485"/>
      <c r="F1019" s="487"/>
      <c r="J1019" s="485"/>
    </row>
    <row r="1020" spans="1:10" ht="14.25" customHeight="1">
      <c r="A1020" s="485"/>
      <c r="B1020" s="486"/>
      <c r="C1020" s="486"/>
      <c r="D1020" s="487"/>
      <c r="E1020" s="485"/>
      <c r="F1020" s="487"/>
      <c r="J1020" s="485"/>
    </row>
    <row r="1021" spans="1:10" ht="14.25" customHeight="1">
      <c r="A1021" s="485"/>
      <c r="B1021" s="486"/>
      <c r="C1021" s="486"/>
      <c r="D1021" s="487"/>
      <c r="E1021" s="485"/>
      <c r="F1021" s="487"/>
      <c r="J1021" s="485"/>
    </row>
    <row r="1022" spans="1:10" ht="14.25" customHeight="1">
      <c r="A1022" s="485"/>
      <c r="B1022" s="486"/>
      <c r="C1022" s="486"/>
      <c r="D1022" s="487"/>
      <c r="E1022" s="485"/>
      <c r="F1022" s="487"/>
      <c r="J1022" s="485"/>
    </row>
    <row r="1023" spans="1:10" ht="14.25" customHeight="1">
      <c r="A1023" s="485"/>
      <c r="B1023" s="486"/>
      <c r="C1023" s="486"/>
      <c r="D1023" s="487"/>
      <c r="E1023" s="485"/>
      <c r="F1023" s="487"/>
      <c r="J1023" s="485"/>
    </row>
    <row r="1024" spans="1:10" ht="14.25" customHeight="1">
      <c r="A1024" s="485"/>
      <c r="B1024" s="486"/>
      <c r="C1024" s="486"/>
      <c r="D1024" s="487"/>
      <c r="E1024" s="485"/>
      <c r="F1024" s="487"/>
      <c r="J1024" s="485"/>
    </row>
    <row r="1025" spans="1:10" ht="14.25" customHeight="1">
      <c r="A1025" s="485"/>
      <c r="B1025" s="486"/>
      <c r="C1025" s="486"/>
      <c r="D1025" s="487"/>
      <c r="E1025" s="485"/>
      <c r="F1025" s="487"/>
      <c r="J1025" s="485"/>
    </row>
    <row r="1026" spans="1:10" ht="14.25" customHeight="1">
      <c r="A1026" s="485"/>
      <c r="B1026" s="486"/>
      <c r="C1026" s="486"/>
      <c r="D1026" s="487"/>
      <c r="E1026" s="485"/>
      <c r="F1026" s="487"/>
      <c r="J1026" s="485"/>
    </row>
    <row r="1027" spans="1:10" ht="14.25" customHeight="1">
      <c r="A1027" s="485"/>
      <c r="B1027" s="486"/>
      <c r="C1027" s="486"/>
      <c r="D1027" s="487"/>
      <c r="E1027" s="485"/>
      <c r="F1027" s="487"/>
      <c r="J1027" s="485"/>
    </row>
    <row r="1028" spans="1:10" ht="14.25" customHeight="1">
      <c r="A1028" s="485"/>
      <c r="B1028" s="486"/>
      <c r="C1028" s="486"/>
      <c r="D1028" s="487"/>
      <c r="E1028" s="485"/>
      <c r="F1028" s="487"/>
      <c r="J1028" s="485"/>
    </row>
    <row r="1029" spans="1:10" ht="14.25" customHeight="1">
      <c r="A1029" s="485"/>
      <c r="B1029" s="486"/>
      <c r="C1029" s="486"/>
      <c r="D1029" s="487"/>
      <c r="E1029" s="485"/>
      <c r="F1029" s="487"/>
      <c r="J1029" s="485"/>
    </row>
    <row r="1030" spans="1:10" ht="14.25" customHeight="1">
      <c r="A1030" s="485"/>
      <c r="B1030" s="486"/>
      <c r="C1030" s="486"/>
      <c r="D1030" s="487"/>
      <c r="E1030" s="485"/>
      <c r="F1030" s="487"/>
      <c r="J1030" s="485"/>
    </row>
    <row r="1031" spans="1:10" ht="14.25" customHeight="1">
      <c r="A1031" s="485"/>
      <c r="B1031" s="486"/>
      <c r="C1031" s="486"/>
      <c r="D1031" s="487"/>
      <c r="E1031" s="485"/>
      <c r="F1031" s="487"/>
      <c r="J1031" s="485"/>
    </row>
    <row r="1032" spans="1:10" ht="14.25" customHeight="1">
      <c r="A1032" s="485"/>
      <c r="B1032" s="486"/>
      <c r="C1032" s="486"/>
      <c r="D1032" s="487"/>
      <c r="E1032" s="485"/>
      <c r="F1032" s="487"/>
      <c r="J1032" s="485"/>
    </row>
    <row r="1033" spans="1:10" ht="14.25" customHeight="1">
      <c r="A1033" s="485"/>
      <c r="B1033" s="486"/>
      <c r="C1033" s="486"/>
      <c r="D1033" s="487"/>
      <c r="E1033" s="485"/>
      <c r="F1033" s="487"/>
      <c r="J1033" s="485"/>
    </row>
    <row r="1034" spans="1:10" ht="14.25" customHeight="1">
      <c r="A1034" s="485"/>
      <c r="B1034" s="486"/>
      <c r="C1034" s="486"/>
      <c r="D1034" s="487"/>
      <c r="E1034" s="485"/>
      <c r="F1034" s="487"/>
      <c r="J1034" s="485"/>
    </row>
    <row r="1035" spans="1:10" ht="14.25" customHeight="1">
      <c r="A1035" s="485"/>
      <c r="B1035" s="486"/>
      <c r="C1035" s="486"/>
      <c r="D1035" s="487"/>
      <c r="E1035" s="485"/>
      <c r="F1035" s="487"/>
      <c r="J1035" s="485"/>
    </row>
    <row r="1036" spans="1:10" ht="14.25" customHeight="1">
      <c r="A1036" s="485"/>
      <c r="B1036" s="486"/>
      <c r="C1036" s="486"/>
      <c r="D1036" s="487"/>
      <c r="E1036" s="485"/>
      <c r="F1036" s="487"/>
      <c r="J1036" s="485"/>
    </row>
    <row r="1037" spans="1:10" ht="14.25" customHeight="1">
      <c r="A1037" s="485"/>
      <c r="B1037" s="486"/>
      <c r="C1037" s="486"/>
      <c r="D1037" s="487"/>
      <c r="E1037" s="485"/>
      <c r="F1037" s="487"/>
      <c r="J1037" s="485"/>
    </row>
    <row r="1038" spans="1:10" ht="14.25" customHeight="1">
      <c r="A1038" s="485"/>
      <c r="B1038" s="486"/>
      <c r="C1038" s="486"/>
      <c r="D1038" s="487"/>
      <c r="E1038" s="485"/>
      <c r="F1038" s="487"/>
      <c r="J1038" s="485"/>
    </row>
    <row r="1039" spans="1:10" ht="14.25" customHeight="1">
      <c r="A1039" s="485"/>
      <c r="B1039" s="486"/>
      <c r="C1039" s="486"/>
      <c r="D1039" s="487"/>
      <c r="E1039" s="485"/>
      <c r="F1039" s="487"/>
      <c r="J1039" s="485"/>
    </row>
    <row r="1040" spans="1:10" ht="14.25" customHeight="1">
      <c r="A1040" s="485"/>
      <c r="B1040" s="486"/>
      <c r="C1040" s="486"/>
      <c r="D1040" s="487"/>
      <c r="E1040" s="485"/>
      <c r="F1040" s="487"/>
      <c r="J1040" s="485"/>
    </row>
    <row r="1041" spans="1:10" ht="14.25" customHeight="1">
      <c r="A1041" s="485"/>
      <c r="B1041" s="486"/>
      <c r="C1041" s="486"/>
      <c r="D1041" s="487"/>
      <c r="E1041" s="485"/>
      <c r="F1041" s="487"/>
      <c r="J1041" s="485"/>
    </row>
    <row r="1042" spans="1:10" ht="14.25" customHeight="1">
      <c r="A1042" s="485"/>
      <c r="B1042" s="486"/>
      <c r="C1042" s="486"/>
      <c r="D1042" s="487"/>
      <c r="E1042" s="485"/>
      <c r="F1042" s="487"/>
      <c r="J1042" s="485"/>
    </row>
    <row r="1043" spans="1:10" ht="14.25" customHeight="1">
      <c r="A1043" s="485"/>
      <c r="B1043" s="486"/>
      <c r="C1043" s="486"/>
      <c r="D1043" s="487"/>
      <c r="E1043" s="485"/>
      <c r="F1043" s="487"/>
      <c r="J1043" s="485"/>
    </row>
    <row r="1044" spans="1:10" ht="14.25" customHeight="1">
      <c r="A1044" s="485"/>
      <c r="B1044" s="486"/>
      <c r="C1044" s="486"/>
      <c r="D1044" s="487"/>
      <c r="E1044" s="485"/>
      <c r="F1044" s="487"/>
      <c r="J1044" s="485"/>
    </row>
    <row r="1045" spans="1:10" ht="14.25" customHeight="1">
      <c r="A1045" s="485"/>
      <c r="B1045" s="486"/>
      <c r="C1045" s="486"/>
      <c r="D1045" s="487"/>
      <c r="E1045" s="485"/>
      <c r="F1045" s="487"/>
      <c r="J1045" s="485"/>
    </row>
    <row r="1046" spans="1:10" ht="14.25" customHeight="1">
      <c r="A1046" s="485"/>
      <c r="B1046" s="486"/>
      <c r="C1046" s="486"/>
      <c r="D1046" s="487"/>
      <c r="E1046" s="485"/>
      <c r="F1046" s="487"/>
      <c r="J1046" s="485"/>
    </row>
    <row r="1047" spans="1:10" ht="14.25" customHeight="1">
      <c r="A1047" s="485"/>
      <c r="B1047" s="486"/>
      <c r="C1047" s="486"/>
      <c r="D1047" s="487"/>
      <c r="E1047" s="485"/>
      <c r="F1047" s="487"/>
      <c r="J1047" s="485"/>
    </row>
    <row r="1048" spans="1:10" ht="14.25" customHeight="1">
      <c r="A1048" s="485"/>
      <c r="B1048" s="486"/>
      <c r="C1048" s="486"/>
      <c r="D1048" s="487"/>
      <c r="E1048" s="485"/>
      <c r="F1048" s="487"/>
      <c r="J1048" s="485"/>
    </row>
    <row r="1049" spans="1:10" ht="14.25" customHeight="1">
      <c r="A1049" s="485"/>
      <c r="B1049" s="486"/>
      <c r="C1049" s="486"/>
      <c r="D1049" s="487"/>
      <c r="E1049" s="485"/>
      <c r="F1049" s="487"/>
      <c r="J1049" s="485"/>
    </row>
    <row r="1050" spans="1:10" ht="14.25" customHeight="1">
      <c r="A1050" s="485"/>
      <c r="B1050" s="486"/>
      <c r="C1050" s="486"/>
      <c r="D1050" s="487"/>
      <c r="E1050" s="485"/>
      <c r="F1050" s="487"/>
      <c r="J1050" s="485"/>
    </row>
    <row r="1051" spans="1:10" ht="14.25" customHeight="1">
      <c r="A1051" s="485"/>
      <c r="B1051" s="486"/>
      <c r="C1051" s="486"/>
      <c r="D1051" s="487"/>
      <c r="E1051" s="485"/>
      <c r="F1051" s="487"/>
      <c r="J1051" s="485"/>
    </row>
    <row r="1052" spans="1:10" ht="14.25" customHeight="1">
      <c r="A1052" s="485"/>
      <c r="B1052" s="486"/>
      <c r="C1052" s="486"/>
      <c r="D1052" s="487"/>
      <c r="E1052" s="485"/>
      <c r="F1052" s="487"/>
      <c r="J1052" s="485"/>
    </row>
    <row r="1053" spans="1:10" ht="14.25" customHeight="1">
      <c r="A1053" s="485"/>
      <c r="B1053" s="486"/>
      <c r="C1053" s="486"/>
      <c r="D1053" s="487"/>
      <c r="E1053" s="485"/>
      <c r="F1053" s="487"/>
      <c r="J1053" s="485"/>
    </row>
    <row r="1054" spans="1:10" ht="14.25" customHeight="1">
      <c r="A1054" s="485"/>
      <c r="B1054" s="486"/>
      <c r="C1054" s="486"/>
      <c r="D1054" s="487"/>
      <c r="E1054" s="485"/>
      <c r="F1054" s="487"/>
      <c r="J1054" s="485"/>
    </row>
    <row r="1055" spans="1:10" ht="14.25" customHeight="1">
      <c r="A1055" s="485"/>
      <c r="B1055" s="486"/>
      <c r="C1055" s="486"/>
      <c r="D1055" s="487"/>
      <c r="E1055" s="485"/>
      <c r="F1055" s="487"/>
      <c r="J1055" s="485"/>
    </row>
    <row r="1056" spans="1:10" ht="14.25" customHeight="1">
      <c r="A1056" s="485"/>
      <c r="B1056" s="486"/>
      <c r="C1056" s="486"/>
      <c r="D1056" s="487"/>
      <c r="E1056" s="485"/>
      <c r="F1056" s="487"/>
      <c r="J1056" s="485"/>
    </row>
    <row r="1057" spans="1:10" ht="14.25" customHeight="1">
      <c r="A1057" s="485"/>
      <c r="B1057" s="486"/>
      <c r="C1057" s="486"/>
      <c r="D1057" s="487"/>
      <c r="E1057" s="485"/>
      <c r="F1057" s="487"/>
      <c r="J1057" s="485"/>
    </row>
    <row r="1058" spans="1:10" ht="14.25" customHeight="1">
      <c r="A1058" s="485"/>
      <c r="B1058" s="486"/>
      <c r="C1058" s="486"/>
      <c r="D1058" s="487"/>
      <c r="E1058" s="485"/>
      <c r="F1058" s="487"/>
      <c r="J1058" s="485"/>
    </row>
    <row r="1059" spans="1:10" ht="14.25" customHeight="1">
      <c r="A1059" s="485"/>
      <c r="B1059" s="486"/>
      <c r="C1059" s="486"/>
      <c r="D1059" s="487"/>
      <c r="E1059" s="485"/>
      <c r="F1059" s="487"/>
      <c r="J1059" s="485"/>
    </row>
    <row r="1060" spans="1:10" ht="14.25" customHeight="1">
      <c r="A1060" s="485"/>
      <c r="B1060" s="486"/>
      <c r="C1060" s="486"/>
      <c r="D1060" s="487"/>
      <c r="E1060" s="485"/>
      <c r="F1060" s="487"/>
      <c r="J1060" s="485"/>
    </row>
    <row r="1061" spans="1:10" ht="14.25" customHeight="1">
      <c r="A1061" s="485"/>
      <c r="B1061" s="486"/>
      <c r="C1061" s="486"/>
      <c r="D1061" s="487"/>
      <c r="E1061" s="485"/>
      <c r="F1061" s="487"/>
      <c r="J1061" s="485"/>
    </row>
    <row r="1062" spans="1:10" ht="14.25" customHeight="1">
      <c r="A1062" s="485"/>
      <c r="B1062" s="486"/>
      <c r="C1062" s="486"/>
      <c r="D1062" s="487"/>
      <c r="E1062" s="485"/>
      <c r="F1062" s="487"/>
      <c r="J1062" s="485"/>
    </row>
    <row r="1063" spans="1:10" ht="14.25" customHeight="1">
      <c r="A1063" s="485"/>
      <c r="B1063" s="486"/>
      <c r="C1063" s="486"/>
      <c r="D1063" s="487"/>
      <c r="E1063" s="485"/>
      <c r="F1063" s="487"/>
      <c r="J1063" s="485"/>
    </row>
    <row r="1064" spans="1:10" ht="14.25" customHeight="1">
      <c r="A1064" s="485"/>
      <c r="B1064" s="486"/>
      <c r="C1064" s="486"/>
      <c r="D1064" s="487"/>
      <c r="E1064" s="485"/>
      <c r="F1064" s="487"/>
      <c r="J1064" s="485"/>
    </row>
    <row r="1065" spans="1:10" ht="14.25" customHeight="1">
      <c r="A1065" s="485"/>
      <c r="B1065" s="486"/>
      <c r="C1065" s="486"/>
      <c r="D1065" s="487"/>
      <c r="E1065" s="485"/>
      <c r="F1065" s="487"/>
      <c r="J1065" s="485"/>
    </row>
    <row r="1066" spans="1:10" ht="14.25" customHeight="1">
      <c r="A1066" s="485"/>
      <c r="B1066" s="486"/>
      <c r="C1066" s="486"/>
      <c r="D1066" s="487"/>
      <c r="E1066" s="485"/>
      <c r="F1066" s="487"/>
      <c r="J1066" s="485"/>
    </row>
    <row r="1067" spans="1:10" ht="14.25" customHeight="1">
      <c r="A1067" s="485"/>
      <c r="B1067" s="486"/>
      <c r="C1067" s="486"/>
      <c r="D1067" s="487"/>
      <c r="E1067" s="485"/>
      <c r="F1067" s="487"/>
      <c r="J1067" s="485"/>
    </row>
    <row r="1068" spans="1:10" ht="14.25" customHeight="1">
      <c r="A1068" s="485"/>
      <c r="B1068" s="486"/>
      <c r="C1068" s="486"/>
      <c r="D1068" s="487"/>
      <c r="E1068" s="485"/>
      <c r="F1068" s="487"/>
      <c r="J1068" s="485"/>
    </row>
    <row r="1069" spans="1:10" ht="14.25" customHeight="1">
      <c r="A1069" s="485"/>
      <c r="B1069" s="486"/>
      <c r="C1069" s="486"/>
      <c r="D1069" s="487"/>
      <c r="E1069" s="485"/>
      <c r="F1069" s="487"/>
      <c r="J1069" s="485"/>
    </row>
    <row r="1070" spans="1:10" ht="14.25" customHeight="1">
      <c r="A1070" s="485"/>
      <c r="B1070" s="486"/>
      <c r="C1070" s="486"/>
      <c r="D1070" s="487"/>
      <c r="E1070" s="485"/>
      <c r="F1070" s="487"/>
      <c r="J1070" s="485"/>
    </row>
    <row r="1071" spans="1:10" ht="14.25" customHeight="1">
      <c r="A1071" s="485"/>
      <c r="B1071" s="486"/>
      <c r="C1071" s="486"/>
      <c r="D1071" s="487"/>
      <c r="E1071" s="485"/>
      <c r="F1071" s="487"/>
      <c r="J1071" s="485"/>
    </row>
    <row r="1072" spans="1:10" ht="14.25" customHeight="1">
      <c r="A1072" s="485"/>
      <c r="B1072" s="486"/>
      <c r="C1072" s="486"/>
      <c r="D1072" s="487"/>
      <c r="E1072" s="485"/>
      <c r="F1072" s="487"/>
      <c r="J1072" s="485"/>
    </row>
    <row r="1073" spans="1:10" ht="14.25" customHeight="1">
      <c r="A1073" s="485"/>
      <c r="B1073" s="486"/>
      <c r="C1073" s="486"/>
      <c r="D1073" s="487"/>
      <c r="E1073" s="485"/>
      <c r="F1073" s="487"/>
      <c r="J1073" s="485"/>
    </row>
    <row r="1074" spans="1:10" ht="14.25" customHeight="1">
      <c r="A1074" s="485"/>
      <c r="B1074" s="486"/>
      <c r="C1074" s="486"/>
      <c r="D1074" s="487"/>
      <c r="E1074" s="485"/>
      <c r="F1074" s="487"/>
      <c r="J1074" s="485"/>
    </row>
    <row r="1075" spans="1:10" ht="14.25" customHeight="1">
      <c r="A1075" s="485"/>
      <c r="B1075" s="486"/>
      <c r="C1075" s="486"/>
      <c r="D1075" s="487"/>
      <c r="E1075" s="485"/>
      <c r="F1075" s="487"/>
      <c r="J1075" s="485"/>
    </row>
    <row r="1076" spans="1:10" ht="14.25" customHeight="1">
      <c r="A1076" s="485"/>
      <c r="B1076" s="486"/>
      <c r="C1076" s="486"/>
      <c r="D1076" s="487"/>
      <c r="E1076" s="485"/>
      <c r="F1076" s="487"/>
      <c r="J1076" s="485"/>
    </row>
    <row r="1077" spans="1:10" ht="14.25" customHeight="1">
      <c r="A1077" s="485"/>
      <c r="B1077" s="486"/>
      <c r="C1077" s="486"/>
      <c r="D1077" s="487"/>
      <c r="E1077" s="485"/>
      <c r="F1077" s="487"/>
      <c r="J1077" s="485"/>
    </row>
    <row r="1078" spans="1:10" ht="14.25" customHeight="1">
      <c r="A1078" s="485"/>
      <c r="B1078" s="486"/>
      <c r="C1078" s="486"/>
      <c r="D1078" s="487"/>
      <c r="E1078" s="485"/>
      <c r="F1078" s="487"/>
      <c r="J1078" s="485"/>
    </row>
    <row r="1079" spans="1:10" ht="14.25" customHeight="1">
      <c r="A1079" s="485"/>
      <c r="B1079" s="486"/>
      <c r="C1079" s="486"/>
      <c r="D1079" s="487"/>
      <c r="E1079" s="485"/>
      <c r="F1079" s="487"/>
      <c r="J1079" s="485"/>
    </row>
    <row r="1080" spans="1:10" ht="14.25" customHeight="1">
      <c r="A1080" s="485"/>
      <c r="B1080" s="486"/>
      <c r="C1080" s="486"/>
      <c r="D1080" s="487"/>
      <c r="E1080" s="485"/>
      <c r="F1080" s="487"/>
      <c r="J1080" s="485"/>
    </row>
    <row r="1081" spans="1:10" ht="14.25" customHeight="1">
      <c r="A1081" s="485"/>
      <c r="B1081" s="486"/>
      <c r="C1081" s="486"/>
      <c r="D1081" s="487"/>
      <c r="E1081" s="485"/>
      <c r="F1081" s="487"/>
      <c r="J1081" s="485"/>
    </row>
    <row r="1082" spans="1:10" ht="14.25" customHeight="1">
      <c r="A1082" s="485"/>
      <c r="B1082" s="486"/>
      <c r="C1082" s="486"/>
      <c r="D1082" s="487"/>
      <c r="E1082" s="485"/>
      <c r="F1082" s="487"/>
      <c r="J1082" s="485"/>
    </row>
    <row r="1083" spans="1:10" ht="14.25" customHeight="1">
      <c r="A1083" s="485"/>
      <c r="B1083" s="486"/>
      <c r="C1083" s="486"/>
      <c r="D1083" s="487"/>
      <c r="E1083" s="485"/>
      <c r="F1083" s="487"/>
      <c r="J1083" s="485"/>
    </row>
    <row r="1084" spans="1:10" ht="14.25" customHeight="1">
      <c r="A1084" s="485"/>
      <c r="B1084" s="486"/>
      <c r="C1084" s="486"/>
      <c r="D1084" s="487"/>
      <c r="E1084" s="485"/>
      <c r="F1084" s="487"/>
      <c r="J1084" s="485"/>
    </row>
    <row r="1085" spans="1:10" ht="14.25" customHeight="1">
      <c r="A1085" s="485"/>
      <c r="B1085" s="486"/>
      <c r="C1085" s="486"/>
      <c r="D1085" s="487"/>
      <c r="E1085" s="485"/>
      <c r="F1085" s="487"/>
      <c r="J1085" s="485"/>
    </row>
    <row r="1086" spans="1:10" ht="14.25" customHeight="1">
      <c r="A1086" s="485"/>
      <c r="B1086" s="486"/>
      <c r="C1086" s="486"/>
      <c r="D1086" s="487"/>
      <c r="E1086" s="485"/>
      <c r="F1086" s="487"/>
      <c r="J1086" s="485"/>
    </row>
    <row r="1087" spans="1:10" ht="14.25" customHeight="1">
      <c r="A1087" s="485"/>
      <c r="B1087" s="486"/>
      <c r="C1087" s="486"/>
      <c r="D1087" s="487"/>
      <c r="E1087" s="485"/>
      <c r="F1087" s="487"/>
      <c r="J1087" s="485"/>
    </row>
    <row r="1088" spans="1:10" ht="14.25" customHeight="1">
      <c r="A1088" s="485"/>
      <c r="B1088" s="486"/>
      <c r="C1088" s="486"/>
      <c r="D1088" s="487"/>
      <c r="E1088" s="485"/>
      <c r="F1088" s="487"/>
      <c r="J1088" s="485"/>
    </row>
    <row r="1089" spans="1:10" ht="14.25" customHeight="1">
      <c r="A1089" s="485"/>
      <c r="B1089" s="486"/>
      <c r="C1089" s="486"/>
      <c r="D1089" s="487"/>
      <c r="E1089" s="485"/>
      <c r="F1089" s="487"/>
      <c r="J1089" s="485"/>
    </row>
    <row r="1090" spans="1:10" ht="14.25" customHeight="1">
      <c r="A1090" s="485"/>
      <c r="B1090" s="486"/>
      <c r="C1090" s="486"/>
      <c r="D1090" s="487"/>
      <c r="E1090" s="485"/>
      <c r="F1090" s="487"/>
      <c r="J1090" s="485"/>
    </row>
    <row r="1091" spans="1:10" ht="14.25" customHeight="1">
      <c r="A1091" s="485"/>
      <c r="B1091" s="486"/>
      <c r="C1091" s="486"/>
      <c r="D1091" s="487"/>
      <c r="E1091" s="485"/>
      <c r="F1091" s="487"/>
      <c r="J1091" s="485"/>
    </row>
    <row r="1092" spans="1:10" ht="14.25" customHeight="1">
      <c r="A1092" s="485"/>
      <c r="B1092" s="486"/>
      <c r="C1092" s="486"/>
      <c r="D1092" s="487"/>
      <c r="E1092" s="485"/>
      <c r="F1092" s="487"/>
      <c r="J1092" s="485"/>
    </row>
    <row r="1093" spans="1:10" ht="14.25" customHeight="1">
      <c r="A1093" s="485"/>
      <c r="B1093" s="486"/>
      <c r="C1093" s="486"/>
      <c r="D1093" s="487"/>
      <c r="E1093" s="485"/>
      <c r="F1093" s="487"/>
      <c r="J1093" s="485"/>
    </row>
    <row r="1094" spans="1:10" ht="14.25" customHeight="1">
      <c r="A1094" s="485"/>
      <c r="B1094" s="486"/>
      <c r="C1094" s="486"/>
      <c r="D1094" s="487"/>
      <c r="E1094" s="485"/>
      <c r="F1094" s="487"/>
      <c r="J1094" s="485"/>
    </row>
    <row r="1095" spans="1:10" ht="14.25" customHeight="1">
      <c r="A1095" s="485"/>
      <c r="B1095" s="486"/>
      <c r="C1095" s="486"/>
      <c r="D1095" s="487"/>
      <c r="E1095" s="485"/>
      <c r="F1095" s="487"/>
      <c r="J1095" s="485"/>
    </row>
    <row r="1096" spans="1:10" ht="14.25" customHeight="1">
      <c r="A1096" s="485"/>
      <c r="B1096" s="486"/>
      <c r="C1096" s="486"/>
      <c r="D1096" s="487"/>
      <c r="E1096" s="485"/>
      <c r="F1096" s="487"/>
      <c r="J1096" s="485"/>
    </row>
    <row r="1097" spans="1:10" ht="14.25" customHeight="1">
      <c r="A1097" s="485"/>
      <c r="B1097" s="486"/>
      <c r="C1097" s="486"/>
      <c r="D1097" s="487"/>
      <c r="E1097" s="485"/>
      <c r="F1097" s="487"/>
      <c r="J1097" s="485"/>
    </row>
    <row r="1098" spans="1:10" ht="14.25" customHeight="1">
      <c r="A1098" s="485"/>
      <c r="B1098" s="486"/>
      <c r="C1098" s="486"/>
      <c r="D1098" s="487"/>
      <c r="E1098" s="485"/>
      <c r="F1098" s="487"/>
      <c r="J1098" s="485"/>
    </row>
    <row r="1099" spans="1:10" ht="14.25" customHeight="1">
      <c r="A1099" s="485"/>
      <c r="B1099" s="486"/>
      <c r="C1099" s="486"/>
      <c r="D1099" s="487"/>
      <c r="E1099" s="485"/>
      <c r="F1099" s="487"/>
      <c r="J1099" s="485"/>
    </row>
    <row r="1100" spans="1:10" ht="14.25" customHeight="1">
      <c r="A1100" s="485"/>
      <c r="B1100" s="486"/>
      <c r="C1100" s="486"/>
      <c r="D1100" s="487"/>
      <c r="E1100" s="485"/>
      <c r="F1100" s="487"/>
      <c r="J1100" s="485"/>
    </row>
    <row r="1101" spans="1:10" ht="14.25" customHeight="1">
      <c r="A1101" s="485"/>
      <c r="B1101" s="486"/>
      <c r="C1101" s="486"/>
      <c r="D1101" s="487"/>
      <c r="E1101" s="485"/>
      <c r="F1101" s="487"/>
      <c r="J1101" s="485"/>
    </row>
    <row r="1102" spans="1:10" ht="14.25" customHeight="1">
      <c r="A1102" s="485"/>
      <c r="B1102" s="486"/>
      <c r="C1102" s="486"/>
      <c r="D1102" s="487"/>
      <c r="E1102" s="485"/>
      <c r="F1102" s="487"/>
      <c r="J1102" s="485"/>
    </row>
    <row r="1103" spans="1:10" ht="14.25" customHeight="1">
      <c r="A1103" s="485"/>
      <c r="B1103" s="486"/>
      <c r="C1103" s="486"/>
      <c r="D1103" s="487"/>
      <c r="E1103" s="485"/>
      <c r="F1103" s="487"/>
      <c r="J1103" s="485"/>
    </row>
    <row r="1104" spans="1:10" ht="14.25" customHeight="1">
      <c r="A1104" s="485"/>
      <c r="B1104" s="486"/>
      <c r="C1104" s="486"/>
      <c r="D1104" s="487"/>
      <c r="E1104" s="485"/>
      <c r="F1104" s="487"/>
      <c r="J1104" s="485"/>
    </row>
    <row r="1105" spans="1:10" ht="14.25" customHeight="1">
      <c r="A1105" s="485"/>
      <c r="B1105" s="486"/>
      <c r="C1105" s="486"/>
      <c r="D1105" s="487"/>
      <c r="E1105" s="485"/>
      <c r="F1105" s="487"/>
      <c r="J1105" s="485"/>
    </row>
    <row r="1106" spans="1:10" ht="14.25" customHeight="1">
      <c r="A1106" s="485"/>
      <c r="B1106" s="486"/>
      <c r="C1106" s="486"/>
      <c r="D1106" s="487"/>
      <c r="E1106" s="485"/>
      <c r="F1106" s="487"/>
      <c r="J1106" s="485"/>
    </row>
    <row r="1107" spans="1:10" ht="14.25" customHeight="1">
      <c r="A1107" s="485"/>
      <c r="B1107" s="486"/>
      <c r="C1107" s="486"/>
      <c r="D1107" s="487"/>
      <c r="E1107" s="485"/>
      <c r="F1107" s="487"/>
      <c r="J1107" s="485"/>
    </row>
    <row r="1108" spans="1:10" ht="14.25" customHeight="1">
      <c r="A1108" s="485"/>
      <c r="B1108" s="486"/>
      <c r="C1108" s="486"/>
      <c r="D1108" s="487"/>
      <c r="E1108" s="485"/>
      <c r="F1108" s="487"/>
      <c r="J1108" s="485"/>
    </row>
    <row r="1109" spans="1:10" ht="14.25" customHeight="1">
      <c r="A1109" s="485"/>
      <c r="B1109" s="486"/>
      <c r="C1109" s="486"/>
      <c r="D1109" s="487"/>
      <c r="E1109" s="485"/>
      <c r="F1109" s="487"/>
      <c r="J1109" s="485"/>
    </row>
    <row r="1110" spans="1:10" ht="14.25" customHeight="1">
      <c r="A1110" s="485"/>
      <c r="B1110" s="486"/>
      <c r="C1110" s="486"/>
      <c r="D1110" s="487"/>
      <c r="E1110" s="485"/>
      <c r="F1110" s="487"/>
      <c r="J1110" s="485"/>
    </row>
    <row r="1111" spans="1:10" ht="14.25" customHeight="1">
      <c r="A1111" s="485"/>
      <c r="B1111" s="486"/>
      <c r="C1111" s="486"/>
      <c r="D1111" s="487"/>
      <c r="E1111" s="485"/>
      <c r="F1111" s="487"/>
      <c r="J1111" s="485"/>
    </row>
    <row r="1112" spans="1:10" ht="14.25" customHeight="1">
      <c r="A1112" s="485"/>
      <c r="B1112" s="486"/>
      <c r="C1112" s="486"/>
      <c r="D1112" s="487"/>
      <c r="E1112" s="485"/>
      <c r="F1112" s="487"/>
      <c r="J1112" s="485"/>
    </row>
    <row r="1113" spans="1:10" ht="14.25" customHeight="1">
      <c r="A1113" s="485"/>
      <c r="B1113" s="486"/>
      <c r="C1113" s="486"/>
      <c r="D1113" s="487"/>
      <c r="E1113" s="485"/>
      <c r="F1113" s="487"/>
      <c r="J1113" s="485"/>
    </row>
    <row r="1114" spans="1:10" ht="14.25" customHeight="1">
      <c r="A1114" s="485"/>
      <c r="B1114" s="486"/>
      <c r="C1114" s="486"/>
      <c r="D1114" s="487"/>
      <c r="E1114" s="485"/>
      <c r="F1114" s="487"/>
      <c r="J1114" s="485"/>
    </row>
    <row r="1115" spans="1:10" ht="14.25" customHeight="1">
      <c r="A1115" s="485"/>
      <c r="B1115" s="486"/>
      <c r="C1115" s="486"/>
      <c r="D1115" s="487"/>
      <c r="E1115" s="485"/>
      <c r="F1115" s="487"/>
      <c r="J1115" s="485"/>
    </row>
    <row r="1116" spans="1:10" ht="14.25" customHeight="1">
      <c r="A1116" s="485"/>
      <c r="B1116" s="486"/>
      <c r="C1116" s="486"/>
      <c r="D1116" s="487"/>
      <c r="E1116" s="485"/>
      <c r="F1116" s="487"/>
      <c r="J1116" s="485"/>
    </row>
    <row r="1117" spans="1:10" ht="14.25" customHeight="1">
      <c r="A1117" s="485"/>
      <c r="B1117" s="486"/>
      <c r="C1117" s="486"/>
      <c r="D1117" s="487"/>
      <c r="E1117" s="485"/>
      <c r="F1117" s="487"/>
      <c r="J1117" s="485"/>
    </row>
    <row r="1118" spans="1:10" ht="14.25" customHeight="1">
      <c r="A1118" s="485"/>
      <c r="B1118" s="486"/>
      <c r="C1118" s="486"/>
      <c r="D1118" s="487"/>
      <c r="E1118" s="485"/>
      <c r="F1118" s="487"/>
      <c r="J1118" s="485"/>
    </row>
    <row r="1119" spans="1:10" ht="14.25" customHeight="1">
      <c r="A1119" s="485"/>
      <c r="B1119" s="486"/>
      <c r="C1119" s="486"/>
      <c r="D1119" s="487"/>
      <c r="E1119" s="485"/>
      <c r="F1119" s="487"/>
      <c r="J1119" s="485"/>
    </row>
    <row r="1120" spans="1:10" ht="14.25" customHeight="1">
      <c r="A1120" s="485"/>
      <c r="B1120" s="486"/>
      <c r="C1120" s="486"/>
      <c r="D1120" s="487"/>
      <c r="E1120" s="485"/>
      <c r="F1120" s="487"/>
      <c r="J1120" s="485"/>
    </row>
    <row r="1121" spans="1:10" ht="14.25" customHeight="1">
      <c r="A1121" s="485"/>
      <c r="B1121" s="486"/>
      <c r="C1121" s="486"/>
      <c r="D1121" s="487"/>
      <c r="E1121" s="485"/>
      <c r="F1121" s="487"/>
      <c r="J1121" s="485"/>
    </row>
    <row r="1122" spans="1:10" ht="14.25" customHeight="1">
      <c r="A1122" s="485"/>
      <c r="B1122" s="486"/>
      <c r="C1122" s="486"/>
      <c r="D1122" s="487"/>
      <c r="E1122" s="485"/>
      <c r="F1122" s="487"/>
      <c r="J1122" s="485"/>
    </row>
    <row r="1123" spans="1:10" ht="14.25" customHeight="1">
      <c r="A1123" s="485"/>
      <c r="B1123" s="486"/>
      <c r="C1123" s="486"/>
      <c r="D1123" s="487"/>
      <c r="E1123" s="485"/>
      <c r="F1123" s="487"/>
      <c r="J1123" s="485"/>
    </row>
    <row r="1124" spans="1:10" ht="14.25" customHeight="1">
      <c r="A1124" s="485"/>
      <c r="B1124" s="486"/>
      <c r="C1124" s="486"/>
      <c r="D1124" s="487"/>
      <c r="E1124" s="485"/>
      <c r="F1124" s="487"/>
      <c r="J1124" s="485"/>
    </row>
    <row r="1125" spans="1:10" ht="14.25" customHeight="1">
      <c r="A1125" s="485"/>
      <c r="B1125" s="486"/>
      <c r="C1125" s="486"/>
      <c r="D1125" s="487"/>
      <c r="E1125" s="485"/>
      <c r="F1125" s="487"/>
      <c r="J1125" s="485"/>
    </row>
    <row r="1126" spans="1:10" ht="14.25" customHeight="1">
      <c r="A1126" s="485"/>
      <c r="B1126" s="486"/>
      <c r="C1126" s="486"/>
      <c r="D1126" s="487"/>
      <c r="E1126" s="485"/>
      <c r="F1126" s="487"/>
      <c r="J1126" s="485"/>
    </row>
    <row r="1127" spans="1:10" ht="14.25" customHeight="1">
      <c r="A1127" s="485"/>
      <c r="B1127" s="486"/>
      <c r="C1127" s="486"/>
      <c r="D1127" s="487"/>
      <c r="E1127" s="485"/>
      <c r="F1127" s="487"/>
      <c r="J1127" s="485"/>
    </row>
    <row r="1128" spans="1:10" ht="14.25" customHeight="1">
      <c r="A1128" s="485"/>
      <c r="B1128" s="486"/>
      <c r="C1128" s="486"/>
      <c r="D1128" s="487"/>
      <c r="E1128" s="485"/>
      <c r="F1128" s="487"/>
      <c r="J1128" s="485"/>
    </row>
    <row r="1129" spans="1:10" ht="14.25" customHeight="1">
      <c r="A1129" s="485"/>
      <c r="B1129" s="486"/>
      <c r="C1129" s="486"/>
      <c r="D1129" s="487"/>
      <c r="E1129" s="485"/>
      <c r="F1129" s="487"/>
      <c r="J1129" s="485"/>
    </row>
    <row r="1130" spans="1:10" ht="14.25" customHeight="1">
      <c r="A1130" s="485"/>
      <c r="B1130" s="486"/>
      <c r="C1130" s="486"/>
      <c r="D1130" s="487"/>
      <c r="E1130" s="485"/>
      <c r="F1130" s="487"/>
      <c r="J1130" s="485"/>
    </row>
    <row r="1131" spans="1:10" ht="14.25" customHeight="1">
      <c r="A1131" s="485"/>
      <c r="B1131" s="486"/>
      <c r="C1131" s="486"/>
      <c r="D1131" s="487"/>
      <c r="E1131" s="485"/>
      <c r="F1131" s="487"/>
      <c r="J1131" s="485"/>
    </row>
    <row r="1132" spans="1:10" ht="14.25" customHeight="1">
      <c r="A1132" s="485"/>
      <c r="B1132" s="486"/>
      <c r="C1132" s="486"/>
      <c r="D1132" s="487"/>
      <c r="E1132" s="485"/>
      <c r="F1132" s="487"/>
      <c r="J1132" s="485"/>
    </row>
    <row r="1133" spans="1:10" ht="14.25" customHeight="1">
      <c r="A1133" s="485"/>
      <c r="B1133" s="486"/>
      <c r="C1133" s="486"/>
      <c r="D1133" s="487"/>
      <c r="E1133" s="485"/>
      <c r="F1133" s="487"/>
      <c r="J1133" s="485"/>
    </row>
    <row r="1134" spans="1:10" ht="14.25" customHeight="1">
      <c r="A1134" s="485"/>
      <c r="B1134" s="486"/>
      <c r="C1134" s="486"/>
      <c r="D1134" s="487"/>
      <c r="E1134" s="485"/>
      <c r="F1134" s="487"/>
      <c r="J1134" s="485"/>
    </row>
    <row r="1135" spans="1:10" ht="14.25" customHeight="1">
      <c r="A1135" s="485"/>
      <c r="B1135" s="486"/>
      <c r="C1135" s="486"/>
      <c r="D1135" s="487"/>
      <c r="E1135" s="485"/>
      <c r="F1135" s="487"/>
      <c r="J1135" s="485"/>
    </row>
    <row r="1136" spans="1:10" ht="14.25" customHeight="1">
      <c r="A1136" s="485"/>
      <c r="B1136" s="486"/>
      <c r="C1136" s="486"/>
      <c r="D1136" s="487"/>
      <c r="E1136" s="485"/>
      <c r="F1136" s="487"/>
      <c r="J1136" s="485"/>
    </row>
    <row r="1137" spans="1:10" ht="14.25" customHeight="1">
      <c r="A1137" s="485"/>
      <c r="B1137" s="486"/>
      <c r="C1137" s="486"/>
      <c r="D1137" s="487"/>
      <c r="E1137" s="485"/>
      <c r="F1137" s="487"/>
      <c r="J1137" s="485"/>
    </row>
    <row r="1138" spans="1:10" ht="14.25" customHeight="1">
      <c r="A1138" s="485"/>
      <c r="B1138" s="486"/>
      <c r="C1138" s="486"/>
      <c r="D1138" s="487"/>
      <c r="E1138" s="485"/>
      <c r="F1138" s="487"/>
      <c r="J1138" s="485"/>
    </row>
    <row r="1139" spans="1:10" ht="14.25" customHeight="1">
      <c r="A1139" s="485"/>
      <c r="B1139" s="486"/>
      <c r="C1139" s="486"/>
      <c r="D1139" s="487"/>
    </row>
    <row r="1140" spans="1:10" ht="14.25" customHeight="1">
      <c r="A1140" s="485"/>
      <c r="B1140" s="486"/>
      <c r="C1140" s="486"/>
      <c r="D1140" s="487"/>
    </row>
  </sheetData>
  <mergeCells count="78">
    <mergeCell ref="B240:B242"/>
    <mergeCell ref="C240:C242"/>
    <mergeCell ref="D240:D242"/>
    <mergeCell ref="B244:B263"/>
    <mergeCell ref="C244:C263"/>
    <mergeCell ref="D244:D263"/>
    <mergeCell ref="B223:B224"/>
    <mergeCell ref="C223:C224"/>
    <mergeCell ref="D223:D224"/>
    <mergeCell ref="B227:B231"/>
    <mergeCell ref="C227:C231"/>
    <mergeCell ref="D227:D231"/>
    <mergeCell ref="B193:B197"/>
    <mergeCell ref="D193:D197"/>
    <mergeCell ref="B211:B222"/>
    <mergeCell ref="C211:C222"/>
    <mergeCell ref="D211:D222"/>
    <mergeCell ref="B149:B151"/>
    <mergeCell ref="C149:C151"/>
    <mergeCell ref="D149:D151"/>
    <mergeCell ref="B177:B178"/>
    <mergeCell ref="B171:B172"/>
    <mergeCell ref="C171:C172"/>
    <mergeCell ref="D171:D172"/>
    <mergeCell ref="B155:B157"/>
    <mergeCell ref="C155:C157"/>
    <mergeCell ref="D155:D157"/>
    <mergeCell ref="B159:B161"/>
    <mergeCell ref="B162:B166"/>
    <mergeCell ref="C162:C166"/>
    <mergeCell ref="D162:D166"/>
    <mergeCell ref="B132:B134"/>
    <mergeCell ref="B65:B67"/>
    <mergeCell ref="C65:C67"/>
    <mergeCell ref="D65:D67"/>
    <mergeCell ref="C132:C134"/>
    <mergeCell ref="D132:D134"/>
    <mergeCell ref="B5:F5"/>
    <mergeCell ref="B7:E7"/>
    <mergeCell ref="E17:E18"/>
    <mergeCell ref="F17:F18"/>
    <mergeCell ref="G17:G18"/>
    <mergeCell ref="D17:D18"/>
    <mergeCell ref="B17:B18"/>
    <mergeCell ref="E15:E16"/>
    <mergeCell ref="D15:D16"/>
    <mergeCell ref="C15:C16"/>
    <mergeCell ref="B15:B16"/>
    <mergeCell ref="D12:D13"/>
    <mergeCell ref="E12:E13"/>
    <mergeCell ref="G15:G16"/>
    <mergeCell ref="F15:F16"/>
    <mergeCell ref="F12:F13"/>
    <mergeCell ref="C17:C18"/>
    <mergeCell ref="H12:H13"/>
    <mergeCell ref="I12:I13"/>
    <mergeCell ref="J12:J13"/>
    <mergeCell ref="J15:J16"/>
    <mergeCell ref="I15:I16"/>
    <mergeCell ref="H15:H16"/>
    <mergeCell ref="H17:H18"/>
    <mergeCell ref="I17:I18"/>
    <mergeCell ref="B289:D293"/>
    <mergeCell ref="G12:G13"/>
    <mergeCell ref="C176:C178"/>
    <mergeCell ref="J17:J18"/>
    <mergeCell ref="D58:D60"/>
    <mergeCell ref="C58:C60"/>
    <mergeCell ref="C159:C161"/>
    <mergeCell ref="D159:D161"/>
    <mergeCell ref="C193:C197"/>
    <mergeCell ref="B58:B60"/>
    <mergeCell ref="C129:C131"/>
    <mergeCell ref="B129:B131"/>
    <mergeCell ref="D129:D131"/>
    <mergeCell ref="C135:C137"/>
    <mergeCell ref="D135:D137"/>
    <mergeCell ref="B135:B137"/>
  </mergeCells>
  <phoneticPr fontId="39" type="noConversion"/>
  <pageMargins left="0" right="0" top="0" bottom="0" header="0" footer="0"/>
  <pageSetup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1</vt:i4>
      </vt:variant>
    </vt:vector>
  </HeadingPairs>
  <TitlesOfParts>
    <vt:vector size="4" baseType="lpstr">
      <vt:lpstr>Фінансування</vt:lpstr>
      <vt:lpstr>кошторис витрат</vt:lpstr>
      <vt:lpstr>Реєстр документів</vt:lpstr>
      <vt:lpstr>'кошторис витрат'!Область_друку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user1</cp:lastModifiedBy>
  <cp:lastPrinted>2021-11-18T09:31:17Z</cp:lastPrinted>
  <dcterms:created xsi:type="dcterms:W3CDTF">2020-11-14T13:09:40Z</dcterms:created>
  <dcterms:modified xsi:type="dcterms:W3CDTF">2021-12-29T10:45:26Z</dcterms:modified>
</cp:coreProperties>
</file>