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nastyat\Desktop\УКФ\переделала\"/>
    </mc:Choice>
  </mc:AlternateContent>
  <bookViews>
    <workbookView xWindow="0" yWindow="0" windowWidth="28800" windowHeight="12435"/>
  </bookViews>
  <sheets>
    <sheet name="Фінансування" sheetId="9" r:id="rId1"/>
    <sheet name="Витрати" sheetId="1" r:id="rId2"/>
    <sheet name="Реєстр_грант" sheetId="11" r:id="rId3"/>
    <sheet name="Реєстр_софинанс" sheetId="12" r:id="rId4"/>
  </sheets>
  <externalReferences>
    <externalReference r:id="rId5"/>
    <externalReference r:id="rId6"/>
  </externalReferences>
  <definedNames>
    <definedName name="_xlnm._FilterDatabase" localSheetId="1" hidden="1">Витрати!$A$9:$AF$9</definedName>
    <definedName name="_xlnm._FilterDatabase" localSheetId="2" hidden="1">Реєстр_грант!$A$13:$I$150</definedName>
    <definedName name="_xlnm._FilterDatabase" localSheetId="3" hidden="1">Реєстр_софинанс!$A$3:$I$68</definedName>
    <definedName name="_xlnm.Print_Area" localSheetId="1">Витрати!$A$1:$AC$100</definedName>
    <definedName name="_xlnm.Print_Area" localSheetId="2">Реєстр_грант!$A$1:$I$150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3" i="1" l="1"/>
  <c r="F31" i="1"/>
  <c r="F32" i="1"/>
  <c r="F30" i="1"/>
  <c r="AD45" i="1"/>
  <c r="AE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P45" i="1"/>
  <c r="AC85" i="1"/>
  <c r="AC97" i="1"/>
  <c r="P19" i="1"/>
  <c r="P20" i="1"/>
  <c r="P18" i="1"/>
  <c r="AF17" i="1"/>
  <c r="AE17" i="1"/>
  <c r="AE19" i="1"/>
  <c r="AF19" i="1" s="1"/>
  <c r="AD17" i="1"/>
  <c r="AD18" i="1"/>
  <c r="AE18" i="1" s="1"/>
  <c r="AF18" i="1" s="1"/>
  <c r="AD19" i="1"/>
  <c r="AD20" i="1"/>
  <c r="AE20" i="1" s="1"/>
  <c r="AF20" i="1" s="1"/>
  <c r="AC17" i="1"/>
  <c r="AC18" i="1"/>
  <c r="AC19" i="1"/>
  <c r="AC20" i="1"/>
  <c r="M34" i="1"/>
  <c r="M17" i="1"/>
  <c r="M19" i="1"/>
  <c r="M20" i="1"/>
  <c r="M18" i="1"/>
  <c r="P21" i="1"/>
  <c r="M21" i="1"/>
  <c r="AD21" i="1"/>
  <c r="J21" i="1"/>
  <c r="P36" i="1"/>
  <c r="AF37" i="1"/>
  <c r="AF38" i="1"/>
  <c r="AF39" i="1"/>
  <c r="AF40" i="1"/>
  <c r="AF41" i="1"/>
  <c r="AF42" i="1"/>
  <c r="AF43" i="1"/>
  <c r="AE37" i="1"/>
  <c r="AE38" i="1"/>
  <c r="AE39" i="1"/>
  <c r="AE40" i="1"/>
  <c r="AE41" i="1"/>
  <c r="AE42" i="1"/>
  <c r="AE43" i="1"/>
  <c r="AD37" i="1"/>
  <c r="AD38" i="1"/>
  <c r="AD39" i="1"/>
  <c r="AD40" i="1"/>
  <c r="AD41" i="1"/>
  <c r="AD42" i="1"/>
  <c r="AD43" i="1"/>
  <c r="AC37" i="1"/>
  <c r="AC38" i="1"/>
  <c r="AC39" i="1"/>
  <c r="AC40" i="1"/>
  <c r="AC41" i="1"/>
  <c r="AC42" i="1"/>
  <c r="AC43" i="1"/>
  <c r="P39" i="1"/>
  <c r="J36" i="1"/>
  <c r="J38" i="1"/>
  <c r="J37" i="1"/>
  <c r="M36" i="1"/>
  <c r="M37" i="1"/>
  <c r="M38" i="1"/>
  <c r="G36" i="1"/>
  <c r="G45" i="1" s="1"/>
  <c r="M40" i="1"/>
  <c r="M41" i="1"/>
  <c r="M42" i="1"/>
  <c r="M43" i="1"/>
  <c r="M44" i="1"/>
  <c r="M39" i="1"/>
  <c r="G38" i="1"/>
  <c r="G39" i="1"/>
  <c r="G40" i="1"/>
  <c r="G41" i="1"/>
  <c r="G42" i="1"/>
  <c r="G43" i="1"/>
  <c r="G44" i="1"/>
  <c r="G37" i="1"/>
  <c r="AD22" i="1"/>
  <c r="AD23" i="1"/>
  <c r="M22" i="1"/>
  <c r="M23" i="1"/>
  <c r="G22" i="1"/>
  <c r="G23" i="1"/>
  <c r="AE13" i="1"/>
  <c r="AC16" i="1"/>
  <c r="AD13" i="1"/>
  <c r="AC13" i="1"/>
  <c r="AF13" i="1"/>
  <c r="M13" i="1"/>
  <c r="J13" i="1"/>
  <c r="AD16" i="1"/>
  <c r="AE16" i="1" s="1"/>
  <c r="AF16" i="1" s="1"/>
  <c r="P16" i="1"/>
  <c r="M16" i="1"/>
  <c r="AC23" i="1" l="1"/>
  <c r="AE23" i="1" s="1"/>
  <c r="AF23" i="1" s="1"/>
  <c r="AC22" i="1"/>
  <c r="AE22" i="1" s="1"/>
  <c r="AF22" i="1" s="1"/>
  <c r="H22" i="9"/>
  <c r="J22" i="9" s="1"/>
  <c r="E122" i="11"/>
  <c r="E148" i="11"/>
  <c r="E137" i="11"/>
  <c r="O24" i="1"/>
  <c r="H65" i="12" l="1"/>
  <c r="C64" i="12"/>
  <c r="E64" i="12" s="1"/>
  <c r="C63" i="12"/>
  <c r="E63" i="12" s="1"/>
  <c r="C62" i="12"/>
  <c r="E62" i="12" s="1"/>
  <c r="C61" i="12"/>
  <c r="C60" i="12"/>
  <c r="E60" i="12" s="1"/>
  <c r="C57" i="12"/>
  <c r="C56" i="12"/>
  <c r="C55" i="12"/>
  <c r="C54" i="12"/>
  <c r="E52" i="12"/>
  <c r="C52" i="12"/>
  <c r="C50" i="12"/>
  <c r="H48" i="12"/>
  <c r="C47" i="12"/>
  <c r="C48" i="12" s="1"/>
  <c r="H45" i="12"/>
  <c r="C43" i="12"/>
  <c r="E43" i="12" s="1"/>
  <c r="E45" i="12" s="1"/>
  <c r="H41" i="12"/>
  <c r="E39" i="12"/>
  <c r="C38" i="12"/>
  <c r="C41" i="12" s="1"/>
  <c r="H36" i="12"/>
  <c r="C35" i="12"/>
  <c r="E35" i="12" s="1"/>
  <c r="E36" i="12" s="1"/>
  <c r="H33" i="12"/>
  <c r="E28" i="12"/>
  <c r="E33" i="12" s="1"/>
  <c r="C28" i="12"/>
  <c r="C33" i="12" s="1"/>
  <c r="H26" i="12"/>
  <c r="E11" i="12"/>
  <c r="C11" i="12"/>
  <c r="E9" i="12"/>
  <c r="C9" i="12"/>
  <c r="E7" i="12"/>
  <c r="C7" i="12"/>
  <c r="E5" i="12"/>
  <c r="E26" i="12" s="1"/>
  <c r="C5" i="12"/>
  <c r="C147" i="11"/>
  <c r="E147" i="11" s="1"/>
  <c r="H145" i="11"/>
  <c r="H148" i="11" s="1"/>
  <c r="C143" i="11"/>
  <c r="E143" i="11" s="1"/>
  <c r="C142" i="11"/>
  <c r="E142" i="11" s="1"/>
  <c r="C139" i="11"/>
  <c r="H137" i="11"/>
  <c r="C132" i="11"/>
  <c r="C126" i="11"/>
  <c r="C124" i="11"/>
  <c r="E124" i="11" s="1"/>
  <c r="H122" i="11"/>
  <c r="C115" i="11"/>
  <c r="C114" i="11"/>
  <c r="E114" i="11" s="1"/>
  <c r="C113" i="11"/>
  <c r="E113" i="11" s="1"/>
  <c r="C112" i="11"/>
  <c r="E112" i="11" s="1"/>
  <c r="H110" i="11"/>
  <c r="C109" i="11"/>
  <c r="C110" i="11" s="1"/>
  <c r="C106" i="11"/>
  <c r="E105" i="11"/>
  <c r="C103" i="11"/>
  <c r="C102" i="11"/>
  <c r="C101" i="11"/>
  <c r="E101" i="11" s="1"/>
  <c r="H100" i="11"/>
  <c r="H107" i="11" s="1"/>
  <c r="E98" i="11"/>
  <c r="C98" i="11"/>
  <c r="C92" i="11"/>
  <c r="E92" i="11" s="1"/>
  <c r="H90" i="11"/>
  <c r="C89" i="11"/>
  <c r="C90" i="11" s="1"/>
  <c r="E83" i="11"/>
  <c r="H81" i="11"/>
  <c r="H87" i="11" s="1"/>
  <c r="C81" i="11"/>
  <c r="H79" i="11"/>
  <c r="C78" i="11"/>
  <c r="E78" i="11" s="1"/>
  <c r="C74" i="11"/>
  <c r="C79" i="11" s="1"/>
  <c r="H67" i="11"/>
  <c r="E67" i="11" s="1"/>
  <c r="C67" i="11"/>
  <c r="H62" i="11"/>
  <c r="E62" i="11" s="1"/>
  <c r="C62" i="11"/>
  <c r="C58" i="11"/>
  <c r="E55" i="11"/>
  <c r="E54" i="11"/>
  <c r="C53" i="11"/>
  <c r="E50" i="11"/>
  <c r="E49" i="11"/>
  <c r="C48" i="11"/>
  <c r="E47" i="11"/>
  <c r="E46" i="11"/>
  <c r="H35" i="11"/>
  <c r="H32" i="11"/>
  <c r="H31" i="11"/>
  <c r="C30" i="11"/>
  <c r="H17" i="11"/>
  <c r="H16" i="11"/>
  <c r="C15" i="11"/>
  <c r="E81" i="11" l="1"/>
  <c r="C26" i="12"/>
  <c r="E30" i="11"/>
  <c r="E72" i="11"/>
  <c r="H60" i="11"/>
  <c r="C72" i="11"/>
  <c r="C148" i="11"/>
  <c r="C36" i="12"/>
  <c r="E15" i="11"/>
  <c r="H68" i="12"/>
  <c r="E107" i="11"/>
  <c r="E109" i="11"/>
  <c r="E110" i="11" s="1"/>
  <c r="E139" i="11"/>
  <c r="E47" i="12"/>
  <c r="E48" i="12" s="1"/>
  <c r="C65" i="12"/>
  <c r="C137" i="11"/>
  <c r="E50" i="12"/>
  <c r="E65" i="12" s="1"/>
  <c r="E74" i="11"/>
  <c r="E79" i="11" s="1"/>
  <c r="C60" i="11"/>
  <c r="C107" i="11"/>
  <c r="E87" i="11"/>
  <c r="E38" i="12"/>
  <c r="E41" i="12" s="1"/>
  <c r="E60" i="11"/>
  <c r="C122" i="11"/>
  <c r="C45" i="12"/>
  <c r="H72" i="11"/>
  <c r="H150" i="11" s="1"/>
  <c r="C87" i="11"/>
  <c r="E89" i="11"/>
  <c r="E90" i="11" s="1"/>
  <c r="C22" i="9"/>
  <c r="C150" i="11" l="1"/>
  <c r="C68" i="12"/>
  <c r="E150" i="11"/>
  <c r="E68" i="12"/>
  <c r="H85" i="1"/>
  <c r="I85" i="1"/>
  <c r="K85" i="1"/>
  <c r="L85" i="1"/>
  <c r="N85" i="1"/>
  <c r="O85" i="1"/>
  <c r="Q85" i="1"/>
  <c r="R85" i="1"/>
  <c r="T85" i="1"/>
  <c r="U85" i="1"/>
  <c r="W85" i="1"/>
  <c r="X85" i="1"/>
  <c r="Z85" i="1"/>
  <c r="AA85" i="1"/>
  <c r="AD92" i="1"/>
  <c r="P89" i="1"/>
  <c r="P90" i="1"/>
  <c r="P91" i="1"/>
  <c r="P92" i="1"/>
  <c r="P93" i="1"/>
  <c r="P94" i="1"/>
  <c r="P95" i="1"/>
  <c r="P96" i="1"/>
  <c r="M89" i="1"/>
  <c r="M90" i="1"/>
  <c r="M91" i="1"/>
  <c r="M92" i="1"/>
  <c r="M93" i="1"/>
  <c r="M94" i="1"/>
  <c r="M95" i="1"/>
  <c r="M96" i="1"/>
  <c r="J89" i="1"/>
  <c r="J90" i="1"/>
  <c r="AD90" i="1" s="1"/>
  <c r="J91" i="1"/>
  <c r="J92" i="1"/>
  <c r="J93" i="1"/>
  <c r="J94" i="1"/>
  <c r="J95" i="1"/>
  <c r="J96" i="1"/>
  <c r="G89" i="1"/>
  <c r="G90" i="1"/>
  <c r="AC90" i="1" s="1"/>
  <c r="G91" i="1"/>
  <c r="G92" i="1"/>
  <c r="AC92" i="1" s="1"/>
  <c r="G93" i="1"/>
  <c r="G94" i="1"/>
  <c r="G95" i="1"/>
  <c r="G96" i="1"/>
  <c r="G79" i="1"/>
  <c r="G80" i="1"/>
  <c r="G78" i="1"/>
  <c r="P75" i="1"/>
  <c r="M75" i="1"/>
  <c r="H76" i="1"/>
  <c r="I76" i="1"/>
  <c r="K76" i="1"/>
  <c r="L76" i="1"/>
  <c r="N76" i="1"/>
  <c r="O76" i="1"/>
  <c r="Q76" i="1"/>
  <c r="R76" i="1"/>
  <c r="T76" i="1"/>
  <c r="U76" i="1"/>
  <c r="W76" i="1"/>
  <c r="X76" i="1"/>
  <c r="Z76" i="1"/>
  <c r="AA76" i="1"/>
  <c r="J75" i="1"/>
  <c r="AD75" i="1" s="1"/>
  <c r="G75" i="1"/>
  <c r="AC75" i="1" s="1"/>
  <c r="F76" i="1"/>
  <c r="E76" i="1"/>
  <c r="F67" i="1"/>
  <c r="P65" i="1"/>
  <c r="P66" i="1"/>
  <c r="M65" i="1"/>
  <c r="M66" i="1"/>
  <c r="I62" i="1"/>
  <c r="I65" i="1"/>
  <c r="I67" i="1" s="1"/>
  <c r="H67" i="1"/>
  <c r="K67" i="1"/>
  <c r="L67" i="1"/>
  <c r="N67" i="1"/>
  <c r="O67" i="1"/>
  <c r="Q67" i="1"/>
  <c r="R67" i="1"/>
  <c r="T67" i="1"/>
  <c r="U67" i="1"/>
  <c r="W67" i="1"/>
  <c r="X67" i="1"/>
  <c r="Z67" i="1"/>
  <c r="AA67" i="1"/>
  <c r="J66" i="1"/>
  <c r="G65" i="1"/>
  <c r="G66" i="1"/>
  <c r="E67" i="1"/>
  <c r="I48" i="1"/>
  <c r="G27" i="1"/>
  <c r="O25" i="1"/>
  <c r="P25" i="1" s="1"/>
  <c r="O26" i="1"/>
  <c r="P26" i="1" s="1"/>
  <c r="P24" i="1"/>
  <c r="P27" i="1"/>
  <c r="P28" i="1"/>
  <c r="P29" i="1"/>
  <c r="P30" i="1"/>
  <c r="P31" i="1"/>
  <c r="P32" i="1"/>
  <c r="J25" i="1"/>
  <c r="J26" i="1"/>
  <c r="J27" i="1"/>
  <c r="AD27" i="1" s="1"/>
  <c r="J28" i="1"/>
  <c r="J29" i="1"/>
  <c r="AD29" i="1" s="1"/>
  <c r="J30" i="1"/>
  <c r="J31" i="1"/>
  <c r="AD31" i="1" s="1"/>
  <c r="J32" i="1"/>
  <c r="J33" i="1"/>
  <c r="J24" i="1"/>
  <c r="L34" i="1"/>
  <c r="M25" i="1"/>
  <c r="M26" i="1"/>
  <c r="M27" i="1"/>
  <c r="M28" i="1"/>
  <c r="M29" i="1"/>
  <c r="M30" i="1"/>
  <c r="M31" i="1"/>
  <c r="M32" i="1"/>
  <c r="M33" i="1"/>
  <c r="M24" i="1"/>
  <c r="Q21" i="1"/>
  <c r="Q34" i="1" s="1"/>
  <c r="R21" i="1"/>
  <c r="R34" i="1" s="1"/>
  <c r="S21" i="1"/>
  <c r="T21" i="1"/>
  <c r="T34" i="1" s="1"/>
  <c r="U21" i="1"/>
  <c r="U34" i="1" s="1"/>
  <c r="V21" i="1"/>
  <c r="W21" i="1"/>
  <c r="W34" i="1" s="1"/>
  <c r="X21" i="1"/>
  <c r="X34" i="1" s="1"/>
  <c r="Y21" i="1"/>
  <c r="Z21" i="1"/>
  <c r="Z34" i="1" s="1"/>
  <c r="AA21" i="1"/>
  <c r="AA34" i="1" s="1"/>
  <c r="AB21" i="1"/>
  <c r="H34" i="1"/>
  <c r="I34" i="1"/>
  <c r="K34" i="1"/>
  <c r="N34" i="1"/>
  <c r="O34" i="1"/>
  <c r="P33" i="1"/>
  <c r="G30" i="1"/>
  <c r="G21" i="1" s="1"/>
  <c r="AC21" i="1" s="1"/>
  <c r="G31" i="1"/>
  <c r="G32" i="1"/>
  <c r="G33" i="1"/>
  <c r="G29" i="1"/>
  <c r="G28" i="1"/>
  <c r="G26" i="1"/>
  <c r="G25" i="1"/>
  <c r="G24" i="1"/>
  <c r="AC34" i="1" l="1"/>
  <c r="AC98" i="1" s="1"/>
  <c r="AE21" i="1"/>
  <c r="AC93" i="1"/>
  <c r="AC95" i="1"/>
  <c r="AC94" i="1"/>
  <c r="AE94" i="1" s="1"/>
  <c r="AF94" i="1" s="1"/>
  <c r="AD94" i="1"/>
  <c r="AC91" i="1"/>
  <c r="AE91" i="1" s="1"/>
  <c r="AF91" i="1" s="1"/>
  <c r="AC89" i="1"/>
  <c r="AD93" i="1"/>
  <c r="AE93" i="1" s="1"/>
  <c r="AD89" i="1"/>
  <c r="AD91" i="1"/>
  <c r="AE89" i="1"/>
  <c r="AF89" i="1" s="1"/>
  <c r="AD96" i="1"/>
  <c r="AD95" i="1"/>
  <c r="AE92" i="1"/>
  <c r="AF92" i="1" s="1"/>
  <c r="AE90" i="1"/>
  <c r="AF90" i="1" s="1"/>
  <c r="AC96" i="1"/>
  <c r="AD66" i="1"/>
  <c r="AC65" i="1"/>
  <c r="J65" i="1"/>
  <c r="AD65" i="1" s="1"/>
  <c r="AE75" i="1"/>
  <c r="AC27" i="1"/>
  <c r="AE27" i="1" s="1"/>
  <c r="AF27" i="1" s="1"/>
  <c r="AC66" i="1"/>
  <c r="AC28" i="1"/>
  <c r="AD25" i="1"/>
  <c r="AC32" i="1"/>
  <c r="AC31" i="1"/>
  <c r="AE31" i="1" s="1"/>
  <c r="AF31" i="1" s="1"/>
  <c r="AD24" i="1"/>
  <c r="AC30" i="1"/>
  <c r="AC26" i="1"/>
  <c r="AC33" i="1"/>
  <c r="AD26" i="1"/>
  <c r="AC29" i="1"/>
  <c r="AE29" i="1" s="1"/>
  <c r="AF29" i="1" s="1"/>
  <c r="AC25" i="1"/>
  <c r="AD32" i="1"/>
  <c r="AD30" i="1"/>
  <c r="AD28" i="1"/>
  <c r="AD33" i="1"/>
  <c r="AC24" i="1"/>
  <c r="L23" i="9"/>
  <c r="G23" i="9"/>
  <c r="F23" i="9"/>
  <c r="E23" i="9"/>
  <c r="D23" i="9"/>
  <c r="N22" i="9"/>
  <c r="AE66" i="1" l="1"/>
  <c r="AE95" i="1"/>
  <c r="AF95" i="1" s="1"/>
  <c r="AE96" i="1"/>
  <c r="AF96" i="1" s="1"/>
  <c r="AE65" i="1"/>
  <c r="AF65" i="1" s="1"/>
  <c r="AE25" i="1"/>
  <c r="AF25" i="1" s="1"/>
  <c r="AE28" i="1"/>
  <c r="AF28" i="1" s="1"/>
  <c r="AF75" i="1"/>
  <c r="AF66" i="1"/>
  <c r="AE32" i="1"/>
  <c r="AF32" i="1" s="1"/>
  <c r="AE26" i="1"/>
  <c r="AF26" i="1" s="1"/>
  <c r="AE30" i="1"/>
  <c r="AF30" i="1" s="1"/>
  <c r="AE33" i="1"/>
  <c r="AF33" i="1" s="1"/>
  <c r="AE24" i="1"/>
  <c r="AF24" i="1" s="1"/>
  <c r="AB88" i="1" l="1"/>
  <c r="Y88" i="1"/>
  <c r="AB87" i="1"/>
  <c r="Y87" i="1"/>
  <c r="AB86" i="1"/>
  <c r="AB85" i="1" s="1"/>
  <c r="Y86" i="1"/>
  <c r="AB84" i="1"/>
  <c r="Y84" i="1"/>
  <c r="AA83" i="1"/>
  <c r="Z83" i="1"/>
  <c r="Z97" i="1" s="1"/>
  <c r="X83" i="1"/>
  <c r="W83" i="1"/>
  <c r="AA81" i="1"/>
  <c r="Z81" i="1"/>
  <c r="X81" i="1"/>
  <c r="W81" i="1"/>
  <c r="AB80" i="1"/>
  <c r="Y80" i="1"/>
  <c r="AB79" i="1"/>
  <c r="Y79" i="1"/>
  <c r="AB78" i="1"/>
  <c r="Y78" i="1"/>
  <c r="AB74" i="1"/>
  <c r="Y74" i="1"/>
  <c r="AB73" i="1"/>
  <c r="Y73" i="1"/>
  <c r="AB72" i="1"/>
  <c r="Y72" i="1"/>
  <c r="AA70" i="1"/>
  <c r="Z70" i="1"/>
  <c r="X70" i="1"/>
  <c r="W70" i="1"/>
  <c r="AB69" i="1"/>
  <c r="Y69" i="1"/>
  <c r="AB64" i="1"/>
  <c r="Y64" i="1"/>
  <c r="AB63" i="1"/>
  <c r="Y63" i="1"/>
  <c r="AB62" i="1"/>
  <c r="Y62" i="1"/>
  <c r="AB61" i="1"/>
  <c r="Y61" i="1"/>
  <c r="AB58" i="1"/>
  <c r="Y58" i="1"/>
  <c r="AA57" i="1"/>
  <c r="AA59" i="1" s="1"/>
  <c r="Z57" i="1"/>
  <c r="Z59" i="1" s="1"/>
  <c r="X57" i="1"/>
  <c r="X59" i="1" s="1"/>
  <c r="W57" i="1"/>
  <c r="W59" i="1" s="1"/>
  <c r="AB54" i="1"/>
  <c r="Y54" i="1"/>
  <c r="AA53" i="1"/>
  <c r="AA55" i="1" s="1"/>
  <c r="Z53" i="1"/>
  <c r="Z55" i="1" s="1"/>
  <c r="X53" i="1"/>
  <c r="X55" i="1" s="1"/>
  <c r="W53" i="1"/>
  <c r="W55" i="1" s="1"/>
  <c r="AB50" i="1"/>
  <c r="Y50" i="1"/>
  <c r="AA49" i="1"/>
  <c r="Z49" i="1"/>
  <c r="X49" i="1"/>
  <c r="W49" i="1"/>
  <c r="AB48" i="1"/>
  <c r="Y48" i="1"/>
  <c r="AA47" i="1"/>
  <c r="Z47" i="1"/>
  <c r="X47" i="1"/>
  <c r="W47" i="1"/>
  <c r="AB15" i="1"/>
  <c r="Y15" i="1"/>
  <c r="AB14" i="1"/>
  <c r="Y14" i="1"/>
  <c r="V88" i="1"/>
  <c r="S88" i="1"/>
  <c r="V87" i="1"/>
  <c r="S87" i="1"/>
  <c r="V86" i="1"/>
  <c r="V85" i="1" s="1"/>
  <c r="S86" i="1"/>
  <c r="S85" i="1" s="1"/>
  <c r="V84" i="1"/>
  <c r="S84" i="1"/>
  <c r="U83" i="1"/>
  <c r="T83" i="1"/>
  <c r="R83" i="1"/>
  <c r="Q83" i="1"/>
  <c r="Q97" i="1" s="1"/>
  <c r="U81" i="1"/>
  <c r="T81" i="1"/>
  <c r="R81" i="1"/>
  <c r="Q81" i="1"/>
  <c r="V80" i="1"/>
  <c r="S80" i="1"/>
  <c r="V79" i="1"/>
  <c r="S79" i="1"/>
  <c r="V78" i="1"/>
  <c r="S78" i="1"/>
  <c r="V74" i="1"/>
  <c r="S74" i="1"/>
  <c r="V73" i="1"/>
  <c r="S73" i="1"/>
  <c r="V72" i="1"/>
  <c r="S72" i="1"/>
  <c r="U70" i="1"/>
  <c r="T70" i="1"/>
  <c r="R70" i="1"/>
  <c r="Q70" i="1"/>
  <c r="V69" i="1"/>
  <c r="S69" i="1"/>
  <c r="V64" i="1"/>
  <c r="S64" i="1"/>
  <c r="V63" i="1"/>
  <c r="S63" i="1"/>
  <c r="V62" i="1"/>
  <c r="S62" i="1"/>
  <c r="V61" i="1"/>
  <c r="S61" i="1"/>
  <c r="V58" i="1"/>
  <c r="S58" i="1"/>
  <c r="U57" i="1"/>
  <c r="U59" i="1" s="1"/>
  <c r="T57" i="1"/>
  <c r="T59" i="1" s="1"/>
  <c r="R57" i="1"/>
  <c r="R59" i="1" s="1"/>
  <c r="Q57" i="1"/>
  <c r="Q59" i="1" s="1"/>
  <c r="V54" i="1"/>
  <c r="S54" i="1"/>
  <c r="U53" i="1"/>
  <c r="U55" i="1" s="1"/>
  <c r="T53" i="1"/>
  <c r="T55" i="1" s="1"/>
  <c r="R53" i="1"/>
  <c r="R55" i="1" s="1"/>
  <c r="Q53" i="1"/>
  <c r="Q55" i="1" s="1"/>
  <c r="V50" i="1"/>
  <c r="S50" i="1"/>
  <c r="U49" i="1"/>
  <c r="T49" i="1"/>
  <c r="R49" i="1"/>
  <c r="Q49" i="1"/>
  <c r="V48" i="1"/>
  <c r="V47" i="1" s="1"/>
  <c r="S48" i="1"/>
  <c r="U47" i="1"/>
  <c r="T47" i="1"/>
  <c r="R47" i="1"/>
  <c r="Q47" i="1"/>
  <c r="V15" i="1"/>
  <c r="S15" i="1"/>
  <c r="V14" i="1"/>
  <c r="S14" i="1"/>
  <c r="J88" i="1"/>
  <c r="J87" i="1"/>
  <c r="J86" i="1"/>
  <c r="J84" i="1"/>
  <c r="I83" i="1"/>
  <c r="I97" i="1" s="1"/>
  <c r="H83" i="1"/>
  <c r="I81" i="1"/>
  <c r="H81" i="1"/>
  <c r="J80" i="1"/>
  <c r="J79" i="1"/>
  <c r="J78" i="1"/>
  <c r="J74" i="1"/>
  <c r="J73" i="1"/>
  <c r="J72" i="1"/>
  <c r="I70" i="1"/>
  <c r="H70" i="1"/>
  <c r="J69" i="1"/>
  <c r="J64" i="1"/>
  <c r="J63" i="1"/>
  <c r="J62" i="1"/>
  <c r="J61" i="1"/>
  <c r="J58" i="1"/>
  <c r="I57" i="1"/>
  <c r="I59" i="1" s="1"/>
  <c r="H57" i="1"/>
  <c r="H59" i="1" s="1"/>
  <c r="J54" i="1"/>
  <c r="I53" i="1"/>
  <c r="I55" i="1" s="1"/>
  <c r="H53" i="1"/>
  <c r="H55" i="1" s="1"/>
  <c r="J50" i="1"/>
  <c r="I49" i="1"/>
  <c r="H49" i="1"/>
  <c r="J48" i="1"/>
  <c r="I47" i="1"/>
  <c r="H47" i="1"/>
  <c r="S67" i="1" l="1"/>
  <c r="Y85" i="1"/>
  <c r="J85" i="1"/>
  <c r="R97" i="1"/>
  <c r="AA97" i="1"/>
  <c r="T97" i="1"/>
  <c r="W97" i="1"/>
  <c r="H97" i="1"/>
  <c r="U97" i="1"/>
  <c r="X97" i="1"/>
  <c r="V76" i="1"/>
  <c r="AB76" i="1"/>
  <c r="S76" i="1"/>
  <c r="Y76" i="1"/>
  <c r="H51" i="1"/>
  <c r="J76" i="1"/>
  <c r="AB67" i="1"/>
  <c r="V67" i="1"/>
  <c r="J67" i="1"/>
  <c r="Y67" i="1"/>
  <c r="I51" i="1"/>
  <c r="T51" i="1"/>
  <c r="T98" i="1" s="1"/>
  <c r="W51" i="1"/>
  <c r="W98" i="1" s="1"/>
  <c r="U51" i="1"/>
  <c r="U98" i="1" s="1"/>
  <c r="X51" i="1"/>
  <c r="X98" i="1" s="1"/>
  <c r="AB57" i="1"/>
  <c r="AB59" i="1" s="1"/>
  <c r="Q51" i="1"/>
  <c r="Q98" i="1" s="1"/>
  <c r="Z51" i="1"/>
  <c r="Z98" i="1" s="1"/>
  <c r="R51" i="1"/>
  <c r="AA51" i="1"/>
  <c r="AA98" i="1" s="1"/>
  <c r="Y57" i="1"/>
  <c r="Y59" i="1" s="1"/>
  <c r="V13" i="1"/>
  <c r="V34" i="1" s="1"/>
  <c r="AB47" i="1"/>
  <c r="S57" i="1"/>
  <c r="S59" i="1" s="1"/>
  <c r="AB53" i="1"/>
  <c r="AB55" i="1" s="1"/>
  <c r="V49" i="1"/>
  <c r="V51" i="1" s="1"/>
  <c r="V57" i="1"/>
  <c r="V59" i="1" s="1"/>
  <c r="J53" i="1"/>
  <c r="J55" i="1" s="1"/>
  <c r="S13" i="1"/>
  <c r="S34" i="1" s="1"/>
  <c r="Y13" i="1"/>
  <c r="Y34" i="1" s="1"/>
  <c r="Y53" i="1"/>
  <c r="Y55" i="1" s="1"/>
  <c r="AB49" i="1"/>
  <c r="Y81" i="1"/>
  <c r="Y83" i="1"/>
  <c r="S81" i="1"/>
  <c r="S83" i="1"/>
  <c r="Y49" i="1"/>
  <c r="AB81" i="1"/>
  <c r="J70" i="1"/>
  <c r="J81" i="1"/>
  <c r="S49" i="1"/>
  <c r="S53" i="1"/>
  <c r="S55" i="1" s="1"/>
  <c r="S70" i="1"/>
  <c r="V81" i="1"/>
  <c r="AB13" i="1"/>
  <c r="AB34" i="1" s="1"/>
  <c r="Y47" i="1"/>
  <c r="J47" i="1"/>
  <c r="J83" i="1"/>
  <c r="J97" i="1" s="1"/>
  <c r="J49" i="1"/>
  <c r="S47" i="1"/>
  <c r="V53" i="1"/>
  <c r="V55" i="1" s="1"/>
  <c r="V70" i="1"/>
  <c r="V83" i="1"/>
  <c r="Y70" i="1"/>
  <c r="AB83" i="1"/>
  <c r="AB70" i="1"/>
  <c r="J57" i="1"/>
  <c r="P15" i="1"/>
  <c r="P14" i="1"/>
  <c r="M15" i="1"/>
  <c r="M14" i="1"/>
  <c r="J15" i="1"/>
  <c r="J14" i="1"/>
  <c r="R98" i="1" l="1"/>
  <c r="AB97" i="1"/>
  <c r="V97" i="1"/>
  <c r="AB51" i="1"/>
  <c r="Y97" i="1"/>
  <c r="S97" i="1"/>
  <c r="S51" i="1"/>
  <c r="Y51" i="1"/>
  <c r="J51" i="1"/>
  <c r="P13" i="1"/>
  <c r="P34" i="1" s="1"/>
  <c r="AB44" i="1"/>
  <c r="AB36" i="1" s="1"/>
  <c r="AB98" i="1" s="1"/>
  <c r="V44" i="1"/>
  <c r="V36" i="1" s="1"/>
  <c r="V98" i="1" s="1"/>
  <c r="Y44" i="1"/>
  <c r="Y36" i="1" s="1"/>
  <c r="Y98" i="1" s="1"/>
  <c r="S44" i="1"/>
  <c r="AD14" i="1"/>
  <c r="AD15" i="1"/>
  <c r="J59" i="1"/>
  <c r="S36" i="1" l="1"/>
  <c r="S98" i="1" s="1"/>
  <c r="AC44" i="1"/>
  <c r="J34" i="1"/>
  <c r="M45" i="1"/>
  <c r="AD34" i="1" l="1"/>
  <c r="AD44" i="1" l="1"/>
  <c r="J45" i="1"/>
  <c r="AD36" i="1"/>
  <c r="J98" i="1" l="1"/>
  <c r="C21" i="9" s="1"/>
  <c r="C23" i="9" s="1"/>
  <c r="F81" i="1"/>
  <c r="E81" i="1"/>
  <c r="O81" i="1"/>
  <c r="N81" i="1"/>
  <c r="L81" i="1"/>
  <c r="K81" i="1"/>
  <c r="P80" i="1"/>
  <c r="AD80" i="1" s="1"/>
  <c r="M80" i="1"/>
  <c r="P79" i="1"/>
  <c r="AD79" i="1" s="1"/>
  <c r="M79" i="1"/>
  <c r="P78" i="1"/>
  <c r="AD78" i="1" s="1"/>
  <c r="M78" i="1"/>
  <c r="P63" i="1"/>
  <c r="AD63" i="1" s="1"/>
  <c r="P62" i="1"/>
  <c r="AD62" i="1" s="1"/>
  <c r="M63" i="1"/>
  <c r="M62" i="1"/>
  <c r="G63" i="1"/>
  <c r="G62" i="1"/>
  <c r="P64" i="1"/>
  <c r="AD64" i="1" s="1"/>
  <c r="M64" i="1"/>
  <c r="G64" i="1"/>
  <c r="P61" i="1"/>
  <c r="M61" i="1"/>
  <c r="G61" i="1"/>
  <c r="J100" i="1" l="1"/>
  <c r="AD61" i="1"/>
  <c r="AD67" i="1" s="1"/>
  <c r="P67" i="1"/>
  <c r="G67" i="1"/>
  <c r="M67" i="1"/>
  <c r="AC64" i="1"/>
  <c r="AE64" i="1" s="1"/>
  <c r="AF64" i="1" s="1"/>
  <c r="AC78" i="1"/>
  <c r="AE78" i="1" s="1"/>
  <c r="AF78" i="1" s="1"/>
  <c r="AC79" i="1"/>
  <c r="AE79" i="1" s="1"/>
  <c r="AF79" i="1" s="1"/>
  <c r="AC63" i="1"/>
  <c r="AE63" i="1" s="1"/>
  <c r="AF63" i="1" s="1"/>
  <c r="AC61" i="1"/>
  <c r="AC62" i="1"/>
  <c r="AE62" i="1" s="1"/>
  <c r="AC80" i="1"/>
  <c r="AE80" i="1" s="1"/>
  <c r="AF80" i="1" s="1"/>
  <c r="G81" i="1"/>
  <c r="M81" i="1"/>
  <c r="P81" i="1"/>
  <c r="AD81" i="1" s="1"/>
  <c r="AE61" i="1" l="1"/>
  <c r="AF61" i="1" s="1"/>
  <c r="AC67" i="1"/>
  <c r="AF62" i="1"/>
  <c r="AC81" i="1"/>
  <c r="AE81" i="1" s="1"/>
  <c r="AF81" i="1" s="1"/>
  <c r="P73" i="1"/>
  <c r="AD73" i="1" s="1"/>
  <c r="M73" i="1"/>
  <c r="G73" i="1"/>
  <c r="P88" i="1"/>
  <c r="AD88" i="1" s="1"/>
  <c r="P87" i="1"/>
  <c r="AD87" i="1" s="1"/>
  <c r="P86" i="1"/>
  <c r="P84" i="1"/>
  <c r="AD84" i="1" s="1"/>
  <c r="O83" i="1"/>
  <c r="N83" i="1"/>
  <c r="N97" i="1" s="1"/>
  <c r="P74" i="1"/>
  <c r="AD74" i="1" s="1"/>
  <c r="P72" i="1"/>
  <c r="O70" i="1"/>
  <c r="N70" i="1"/>
  <c r="P69" i="1"/>
  <c r="AD69" i="1" s="1"/>
  <c r="P58" i="1"/>
  <c r="AD58" i="1" s="1"/>
  <c r="O57" i="1"/>
  <c r="O59" i="1" s="1"/>
  <c r="N57" i="1"/>
  <c r="P54" i="1"/>
  <c r="AD54" i="1" s="1"/>
  <c r="O53" i="1"/>
  <c r="O55" i="1" s="1"/>
  <c r="N53" i="1"/>
  <c r="N55" i="1" s="1"/>
  <c r="P50" i="1"/>
  <c r="AD50" i="1" s="1"/>
  <c r="O49" i="1"/>
  <c r="N49" i="1"/>
  <c r="P48" i="1"/>
  <c r="AD48" i="1" s="1"/>
  <c r="O47" i="1"/>
  <c r="N47" i="1"/>
  <c r="AD86" i="1" l="1"/>
  <c r="AD85" i="1" s="1"/>
  <c r="P85" i="1"/>
  <c r="O97" i="1"/>
  <c r="AD72" i="1"/>
  <c r="AD76" i="1" s="1"/>
  <c r="P76" i="1"/>
  <c r="AE67" i="1"/>
  <c r="AF67" i="1" s="1"/>
  <c r="N51" i="1"/>
  <c r="O51" i="1"/>
  <c r="AC73" i="1"/>
  <c r="AE73" i="1" s="1"/>
  <c r="AF73" i="1" s="1"/>
  <c r="N59" i="1"/>
  <c r="P83" i="1"/>
  <c r="AD83" i="1" s="1"/>
  <c r="P70" i="1"/>
  <c r="AD70" i="1" s="1"/>
  <c r="P47" i="1"/>
  <c r="AD47" i="1" s="1"/>
  <c r="P57" i="1"/>
  <c r="AD57" i="1" s="1"/>
  <c r="P49" i="1"/>
  <c r="P53" i="1"/>
  <c r="AD97" i="1" l="1"/>
  <c r="P97" i="1"/>
  <c r="AD53" i="1"/>
  <c r="AD55" i="1" s="1"/>
  <c r="P55" i="1"/>
  <c r="AD49" i="1"/>
  <c r="AD51" i="1" s="1"/>
  <c r="P51" i="1"/>
  <c r="P59" i="1"/>
  <c r="AD59" i="1" s="1"/>
  <c r="P98" i="1" l="1"/>
  <c r="H21" i="9" s="1"/>
  <c r="H23" i="9" s="1"/>
  <c r="J23" i="9" s="1"/>
  <c r="N23" i="9" s="1"/>
  <c r="AD98" i="1"/>
  <c r="M88" i="1"/>
  <c r="M87" i="1"/>
  <c r="G88" i="1"/>
  <c r="G87" i="1"/>
  <c r="J21" i="9" l="1"/>
  <c r="N21" i="9" s="1"/>
  <c r="M22" i="9" s="1"/>
  <c r="AC87" i="1"/>
  <c r="AE87" i="1" s="1"/>
  <c r="AF87" i="1" s="1"/>
  <c r="AC88" i="1"/>
  <c r="AE88" i="1" s="1"/>
  <c r="AF88" i="1" s="1"/>
  <c r="M23" i="9" l="1"/>
  <c r="M86" i="1"/>
  <c r="M85" i="1" s="1"/>
  <c r="G86" i="1"/>
  <c r="G85" i="1" s="1"/>
  <c r="L97" i="1"/>
  <c r="K97" i="1"/>
  <c r="F85" i="1"/>
  <c r="E85" i="1"/>
  <c r="M84" i="1"/>
  <c r="G84" i="1"/>
  <c r="L83" i="1"/>
  <c r="K83" i="1"/>
  <c r="F83" i="1"/>
  <c r="E83" i="1"/>
  <c r="L57" i="1"/>
  <c r="L59" i="1" s="1"/>
  <c r="K57" i="1"/>
  <c r="K59" i="1" s="1"/>
  <c r="F57" i="1"/>
  <c r="F59" i="1" s="1"/>
  <c r="E57" i="1"/>
  <c r="E59" i="1" s="1"/>
  <c r="L53" i="1"/>
  <c r="L55" i="1" s="1"/>
  <c r="K53" i="1"/>
  <c r="K55" i="1" s="1"/>
  <c r="F53" i="1"/>
  <c r="F55" i="1" s="1"/>
  <c r="E53" i="1"/>
  <c r="E55" i="1" s="1"/>
  <c r="L49" i="1"/>
  <c r="K49" i="1"/>
  <c r="F49" i="1"/>
  <c r="E49" i="1"/>
  <c r="L47" i="1"/>
  <c r="K47" i="1"/>
  <c r="F47" i="1"/>
  <c r="E47" i="1"/>
  <c r="M50" i="1"/>
  <c r="G50" i="1"/>
  <c r="M48" i="1"/>
  <c r="G48" i="1"/>
  <c r="E97" i="1" l="1"/>
  <c r="F97" i="1"/>
  <c r="F51" i="1"/>
  <c r="K51" i="1"/>
  <c r="L51" i="1"/>
  <c r="E51" i="1"/>
  <c r="AC86" i="1"/>
  <c r="AC50" i="1"/>
  <c r="AE50" i="1" s="1"/>
  <c r="AF50" i="1" s="1"/>
  <c r="AC84" i="1"/>
  <c r="AE84" i="1" s="1"/>
  <c r="AF84" i="1" s="1"/>
  <c r="AC48" i="1"/>
  <c r="AE48" i="1" s="1"/>
  <c r="AF48" i="1" s="1"/>
  <c r="M83" i="1"/>
  <c r="G83" i="1"/>
  <c r="G97" i="1" s="1"/>
  <c r="G47" i="1"/>
  <c r="M47" i="1"/>
  <c r="G49" i="1"/>
  <c r="M49" i="1"/>
  <c r="AE86" i="1" l="1"/>
  <c r="AF86" i="1"/>
  <c r="AE85" i="1"/>
  <c r="M97" i="1"/>
  <c r="G51" i="1"/>
  <c r="M51" i="1"/>
  <c r="AC83" i="1"/>
  <c r="AE83" i="1" s="1"/>
  <c r="AF83" i="1" s="1"/>
  <c r="AC49" i="1"/>
  <c r="AC47" i="1"/>
  <c r="AE47" i="1" s="1"/>
  <c r="AF47" i="1" s="1"/>
  <c r="AE49" i="1" l="1"/>
  <c r="AC51" i="1"/>
  <c r="AF21" i="1"/>
  <c r="M74" i="1"/>
  <c r="M72" i="1"/>
  <c r="M69" i="1"/>
  <c r="M58" i="1"/>
  <c r="M54" i="1"/>
  <c r="G74" i="1"/>
  <c r="G72" i="1"/>
  <c r="G76" i="1" s="1"/>
  <c r="G69" i="1"/>
  <c r="G58" i="1"/>
  <c r="G54" i="1"/>
  <c r="F70" i="1"/>
  <c r="E70" i="1"/>
  <c r="G15" i="1"/>
  <c r="AC15" i="1" s="1"/>
  <c r="G14" i="1"/>
  <c r="K70" i="1"/>
  <c r="L70" i="1"/>
  <c r="AF85" i="1" l="1"/>
  <c r="AE97" i="1"/>
  <c r="AF97" i="1" s="1"/>
  <c r="M76" i="1"/>
  <c r="AF49" i="1"/>
  <c r="AF51" i="1" s="1"/>
  <c r="AE51" i="1"/>
  <c r="AC58" i="1"/>
  <c r="AE58" i="1" s="1"/>
  <c r="AF58" i="1" s="1"/>
  <c r="AC69" i="1"/>
  <c r="AE69" i="1" s="1"/>
  <c r="AF69" i="1" s="1"/>
  <c r="AC74" i="1"/>
  <c r="AE74" i="1" s="1"/>
  <c r="AF74" i="1" s="1"/>
  <c r="G13" i="1"/>
  <c r="AC14" i="1"/>
  <c r="AE14" i="1" s="1"/>
  <c r="AF14" i="1" s="1"/>
  <c r="AC54" i="1"/>
  <c r="AE54" i="1" s="1"/>
  <c r="AF54" i="1" s="1"/>
  <c r="AC72" i="1"/>
  <c r="AE15" i="1"/>
  <c r="AF15" i="1" s="1"/>
  <c r="M57" i="1"/>
  <c r="M59" i="1" s="1"/>
  <c r="G57" i="1"/>
  <c r="M53" i="1"/>
  <c r="M55" i="1" s="1"/>
  <c r="M98" i="1" s="1"/>
  <c r="J20" i="9" s="1"/>
  <c r="G53" i="1"/>
  <c r="G55" i="1" s="1"/>
  <c r="M70" i="1"/>
  <c r="G70" i="1"/>
  <c r="AE72" i="1" l="1"/>
  <c r="AC76" i="1"/>
  <c r="G34" i="1"/>
  <c r="AC53" i="1"/>
  <c r="AC70" i="1"/>
  <c r="AE70" i="1" s="1"/>
  <c r="AF70" i="1" s="1"/>
  <c r="AC57" i="1"/>
  <c r="AE57" i="1" s="1"/>
  <c r="AF57" i="1" s="1"/>
  <c r="G59" i="1"/>
  <c r="AF72" i="1" l="1"/>
  <c r="AE76" i="1"/>
  <c r="AF76" i="1" s="1"/>
  <c r="AE53" i="1"/>
  <c r="AC55" i="1"/>
  <c r="AE44" i="1"/>
  <c r="AC59" i="1"/>
  <c r="AE59" i="1" s="1"/>
  <c r="AF59" i="1" s="1"/>
  <c r="AC36" i="1"/>
  <c r="AE36" i="1" s="1"/>
  <c r="AF53" i="1" l="1"/>
  <c r="AF55" i="1" s="1"/>
  <c r="AE55" i="1"/>
  <c r="AF34" i="1"/>
  <c r="AE34" i="1"/>
  <c r="AE98" i="1"/>
  <c r="AF98" i="1" s="1"/>
  <c r="AF44" i="1"/>
  <c r="AD100" i="1"/>
  <c r="G98" i="1" l="1"/>
  <c r="AF36" i="1"/>
  <c r="N20" i="9" l="1"/>
  <c r="AF45" i="1"/>
  <c r="AC100" i="1" l="1"/>
  <c r="M21" i="9"/>
  <c r="G100" i="1"/>
</calcChain>
</file>

<file path=xl/sharedStrings.xml><?xml version="1.0" encoding="utf-8"?>
<sst xmlns="http://schemas.openxmlformats.org/spreadsheetml/2006/main" count="980" uniqueCount="516">
  <si>
    <t>Найменування витрат</t>
  </si>
  <si>
    <t>Витрати за рахунок гранту УКФ</t>
  </si>
  <si>
    <t>Одиниця виміру</t>
  </si>
  <si>
    <t>місяців</t>
  </si>
  <si>
    <t>шт.</t>
  </si>
  <si>
    <t>доба</t>
  </si>
  <si>
    <t>Витрати пов'язані з орендою</t>
  </si>
  <si>
    <t>Оренда приміщення</t>
  </si>
  <si>
    <t>Поліграфічні послуги</t>
  </si>
  <si>
    <t>шт</t>
  </si>
  <si>
    <t>Послуги з перекладу</t>
  </si>
  <si>
    <t>година</t>
  </si>
  <si>
    <t>сторінка</t>
  </si>
  <si>
    <t>Інші прямі витрати</t>
  </si>
  <si>
    <t>Стаття:</t>
  </si>
  <si>
    <t>Пункт:</t>
  </si>
  <si>
    <t>Послуги із виготовлення:</t>
  </si>
  <si>
    <t>Вартість за одиницю, грн</t>
  </si>
  <si>
    <t>Вартість за одиницю, грн.</t>
  </si>
  <si>
    <t>Загальна сума, грн. (=7*8)</t>
  </si>
  <si>
    <t>Загальна сума, грн. (=4*5)</t>
  </si>
  <si>
    <t>Стовпці:</t>
  </si>
  <si>
    <t>Витрати за рахунок  Співфінансування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</si>
  <si>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</si>
  <si>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</si>
  <si>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</si>
  <si>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</si>
  <si>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Оплата праці</t>
  </si>
  <si>
    <t>1.1</t>
  </si>
  <si>
    <t>2.1</t>
  </si>
  <si>
    <t>За договорами ЦПХ</t>
  </si>
  <si>
    <t>Соціальні внески</t>
  </si>
  <si>
    <t>№</t>
  </si>
  <si>
    <t>5.2</t>
  </si>
  <si>
    <t>5.1</t>
  </si>
  <si>
    <t>Матеріальні витрати</t>
  </si>
  <si>
    <t>Основні матеріали та сировина</t>
  </si>
  <si>
    <t>Послуги комп'ютерної обробки, монтажу, зведення</t>
  </si>
  <si>
    <t>Штатні працівники</t>
  </si>
  <si>
    <t>Соціальні внески з оплати праці</t>
  </si>
  <si>
    <t>Адміністративні витрати</t>
  </si>
  <si>
    <t xml:space="preserve">Оренда техніки, обладнання та інструменту </t>
  </si>
  <si>
    <t>Витрати:</t>
  </si>
  <si>
    <t>Підрозділ:</t>
  </si>
  <si>
    <t>а</t>
  </si>
  <si>
    <t>б</t>
  </si>
  <si>
    <t>в</t>
  </si>
  <si>
    <t xml:space="preserve">Всього по підрозділу 3 "Соціальні внески": </t>
  </si>
  <si>
    <t>7.1</t>
  </si>
  <si>
    <t>8.1</t>
  </si>
  <si>
    <t>г</t>
  </si>
  <si>
    <t>д</t>
  </si>
  <si>
    <t>е</t>
  </si>
  <si>
    <t>ж</t>
  </si>
  <si>
    <t>з</t>
  </si>
  <si>
    <t>11</t>
  </si>
  <si>
    <t>13</t>
  </si>
  <si>
    <t xml:space="preserve">Всього по розділу ІІ "Витрати": </t>
  </si>
  <si>
    <t>РЕЗУЛЬТАТ РЕАЛІЗАЦІЇ ПРОЕКТУ</t>
  </si>
  <si>
    <t>8</t>
  </si>
  <si>
    <t>10</t>
  </si>
  <si>
    <t>12</t>
  </si>
  <si>
    <t>Кошти організацій-партнерів</t>
  </si>
  <si>
    <t>Послуги з просування</t>
  </si>
  <si>
    <t>Загальна сума, грн. (=10*11)</t>
  </si>
  <si>
    <t>Створення web-ресурсу</t>
  </si>
  <si>
    <t>14</t>
  </si>
  <si>
    <t>є</t>
  </si>
  <si>
    <t>Планові витрати по реалізації Гранту</t>
  </si>
  <si>
    <t>Фактичні витрати по реалізації Гранту</t>
  </si>
  <si>
    <t>різниця</t>
  </si>
  <si>
    <t>%</t>
  </si>
  <si>
    <t xml:space="preserve">Загальна  сума витрат по проекту, грн. 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</si>
  <si>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</si>
  <si>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</si>
  <si>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</si>
  <si>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</si>
  <si>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</si>
  <si>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</si>
  <si>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</si>
  <si>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</si>
  <si>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</si>
  <si>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</si>
  <si>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</si>
  <si>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</si>
  <si>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формули</t>
  </si>
  <si>
    <t>Склав</t>
  </si>
  <si>
    <t>посада</t>
  </si>
  <si>
    <t>підпис</t>
  </si>
  <si>
    <t>Загальна сума, грн. (=13*14)</t>
  </si>
  <si>
    <t>Загальна сума, грн. (=16*17)</t>
  </si>
  <si>
    <t>Q</t>
  </si>
  <si>
    <t>R</t>
  </si>
  <si>
    <t>S=Q*R</t>
  </si>
  <si>
    <t>Загальна сума, грн. (=19*20)</t>
  </si>
  <si>
    <t>T</t>
  </si>
  <si>
    <t>U</t>
  </si>
  <si>
    <t>V=T*U</t>
  </si>
  <si>
    <t>W</t>
  </si>
  <si>
    <t>X</t>
  </si>
  <si>
    <t>Y=W*X</t>
  </si>
  <si>
    <t>Загальна сума, грн. (=22*23)</t>
  </si>
  <si>
    <t>Загальна сума, грн. (=25*26)</t>
  </si>
  <si>
    <t>Z</t>
  </si>
  <si>
    <t>AA</t>
  </si>
  <si>
    <t>AB=Z*AA</t>
  </si>
  <si>
    <t>AC=G+M+S+Y</t>
  </si>
  <si>
    <t>AD=J+P+V+AB</t>
  </si>
  <si>
    <t>планова, грн. (=6+12+18+24)</t>
  </si>
  <si>
    <t>фактична, грн. (=9+15+21+27)</t>
  </si>
  <si>
    <t xml:space="preserve">грн. </t>
  </si>
  <si>
    <t>AE=AC-AD</t>
  </si>
  <si>
    <t>AF=AE/AC</t>
  </si>
  <si>
    <t>1.3</t>
  </si>
  <si>
    <t xml:space="preserve">Всього по підрозділу 1 "Оплата праці": </t>
  </si>
  <si>
    <t>3</t>
  </si>
  <si>
    <t>4</t>
  </si>
  <si>
    <t>5</t>
  </si>
  <si>
    <t>Всього по підрозділу 5 "Витрати пов'язані з орендою":</t>
  </si>
  <si>
    <t>6</t>
  </si>
  <si>
    <t>7</t>
  </si>
  <si>
    <t>Всього по підрозділу 7 "Матеріальні витрати":</t>
  </si>
  <si>
    <t>Всього по підрозділу 8 "Поліграфічні послуги":</t>
  </si>
  <si>
    <t>9</t>
  </si>
  <si>
    <t>Всього по підрозділу 9 "Послуги з просування":</t>
  </si>
  <si>
    <t>Всього по підрозділу 10 "Створення web-ресурсу":</t>
  </si>
  <si>
    <t>Всього по підрозділу 12 "Витрати з перекладу":</t>
  </si>
  <si>
    <t>Всього по підрозділу 13 "Адміністративні витрати":</t>
  </si>
  <si>
    <t>14.1</t>
  </si>
  <si>
    <t>14.4</t>
  </si>
  <si>
    <t>Всього по підрозділу 14 "Інші прямі витрати":</t>
  </si>
  <si>
    <t>Загальна сума гранту</t>
  </si>
  <si>
    <t>Загальна сума всього проекту</t>
  </si>
  <si>
    <t>грн.</t>
  </si>
  <si>
    <t>Загальна сума</t>
  </si>
  <si>
    <t>Склав:</t>
  </si>
  <si>
    <t>залишок до фінансування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</si>
  <si>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</si>
  <si>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</si>
  <si>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2</t>
  </si>
  <si>
    <t>стовпці</t>
  </si>
  <si>
    <t>1</t>
  </si>
  <si>
    <t>грн. (ст.3+ст.4+ст.5+ ст.6+ст.7)</t>
  </si>
  <si>
    <t>плановий бюджет</t>
  </si>
  <si>
    <t>фактичний бюджет</t>
  </si>
  <si>
    <t>профінансовано</t>
  </si>
  <si>
    <t>Витрати за даними звіту про використання гранту</t>
  </si>
  <si>
    <t>ЗАГАЛЬНА СУМА:</t>
  </si>
  <si>
    <t>Витрати за даними звіту за рахунок співфінансування</t>
  </si>
  <si>
    <t xml:space="preserve">про надходження та використання коштів для реалізації проекту </t>
  </si>
  <si>
    <t xml:space="preserve">  ЗВІТ</t>
  </si>
  <si>
    <t xml:space="preserve"> Звіт про надходження та використання коштів для реалізації проекту  </t>
  </si>
  <si>
    <t>Додаток №4</t>
  </si>
  <si>
    <t>Розділ: 
Підрозділ: 
Стаття: 
Пункт:</t>
  </si>
  <si>
    <t>Кількість/
Період</t>
  </si>
  <si>
    <t>Примітки</t>
  </si>
  <si>
    <t>Додаток №1</t>
  </si>
  <si>
    <t>ПІБ</t>
  </si>
  <si>
    <t>до Порядку здійснення контролю за виконанням суб’єктами, які отримують фінансування, згідно Договору про надання гранту, зобов’язань перед Українським культурним фондом.</t>
  </si>
  <si>
    <t>Назва Заявника: Громадська організація "Нью Фешн Зон"</t>
  </si>
  <si>
    <t>Назва проекту: Ukrainian New Fashion Days 2020 - перша міжнародна онлайн-презентація колекцій українських дизайнерів</t>
  </si>
  <si>
    <t>Порядіна-Гривнак Юлія Петрівна, голова</t>
  </si>
  <si>
    <t>Козловська Тетяна Олександрівна, маркетолог</t>
  </si>
  <si>
    <t>Витрата за надання послуг міжнародного експерту-ментору Adrian (Париж) за участь у журі на відборі дизайнерів та брендів під час відбіркового етапу</t>
  </si>
  <si>
    <t>захід</t>
  </si>
  <si>
    <t>Витрата за надання послуг міжнародного експерту-менторуKarmachova (Париж) за участь у журі на відборі дизайнерів та брендів під час відбіркового етапу</t>
  </si>
  <si>
    <t>Витрата за надання послуг міжнародного експерту-ментору Ментор 3 (Париж) за участь у журі на відборі дизайнерів та брендів під час відбіркового етапу</t>
  </si>
  <si>
    <t>Менторська програма: Витрата за надання послуг міжнародного експерту-ментору Adrian (Париж) - 2 години консультацій групових для всіх учасників</t>
  </si>
  <si>
    <t>год</t>
  </si>
  <si>
    <t>Менторська програма: Витрата за надання послуг міжнародного експерту-ментору Karmachova (Париж) - 2 години консультацій групових для всіх учасників</t>
  </si>
  <si>
    <t>Менторська програма: Витрата за надання послуг міжнародного експерту-ментору Ментор 3 (Париж) - 2 години консультацій групових для всіх учасників</t>
  </si>
  <si>
    <t>Індивідуальна Менторська програма: Витрата за надання послуг міжнародного експерту-ментору Adrian (Париж) - 2 години консультацій індивідуальних для кожного учасника (6 учасників)</t>
  </si>
  <si>
    <t>Індивідуальна Менторська програма: Витрата за надання послуг міжнародного експерту-ментору Karmachova (Париж) - 2 години консультацій індивідуальних для кожного учасника (6 учасників)</t>
  </si>
  <si>
    <t>Індивідуальна Менторська програма: Витрата за надання послуг міжнародного експерту-ментору Ментор 3 (Париж) - 2 години консультацій індивідуальних для кожного учасника (6 учасників)</t>
  </si>
  <si>
    <t>Ментор, Експерт-спеціаліcт з налагодження зв'язків - Марія Терехова</t>
  </si>
  <si>
    <t>к</t>
  </si>
  <si>
    <t>л</t>
  </si>
  <si>
    <t>м</t>
  </si>
  <si>
    <t>Оренда Локації Pochayna Event Hall (2000 кв.м) - для проведення Презентації колекцій учасників</t>
  </si>
  <si>
    <t>Оренда Технічного обладнання для проведення Презентації колекцій учасників.</t>
  </si>
  <si>
    <t>Виготовлення WOW-box - креативних презент-запрошень</t>
  </si>
  <si>
    <t>Дизайн і розробка графічного контенту проекту (статичні і динамічні заставки, картинки, віжуали, звіт)</t>
  </si>
  <si>
    <t>Послуги агенції по рекламі та просуванню: прямі витрати на рекламу (рекламний бюджет), SMM на протязі всього проекту, ведення соц мереж, копірайтинг</t>
  </si>
  <si>
    <t xml:space="preserve">Комунікаційна стратегія: Розміщення статей, аналітичних статей, інтервю, створення репортажів, сюжетів </t>
  </si>
  <si>
    <t>місяць</t>
  </si>
  <si>
    <t>комплекс заходів</t>
  </si>
  <si>
    <t>Фотограф - на протязі Презентації (покази колекцій) та обробка фотографій</t>
  </si>
  <si>
    <t xml:space="preserve">Відеозйомка (1 оператор) - на протязі  Презентації (покази колекцій) </t>
  </si>
  <si>
    <t>Абонентська плата за користування сервісом Zoom: пакет Бізнес</t>
  </si>
  <si>
    <t>Абонентська плата за користування сервісом Zoom: пакет Бізнес розширений для Веб-конференцій</t>
  </si>
  <si>
    <t>Створення web-ресурсу та його підтримка - лендінгу проекту, де будуть розміщуватись матеріали всіх учасників конкурсу, описи, відео, члени журі, оцінки. Можливість голосування за учасників, трансляції Презентації</t>
  </si>
  <si>
    <t>Послуги Синхронного перекладу - профільний переклад (1 перекладач англ-укр) - для Загальної зустрічі учасників і експертів за підсумками Відбіркового етапу</t>
  </si>
  <si>
    <t>Послуги Синхронного перекладу - профільний переклад (1 перекладач англ-укр) - для Презентації колекцій учасників</t>
  </si>
  <si>
    <t>Послуги Синхронного перекладу - профільний переклад (1 перекладач англ-укр) - для B2B зустрічей після Презентації -потенційних  байєрів з учасниками проекту (особисті зустрічі)</t>
  </si>
  <si>
    <t>Послуги з перекладу текстових матеріалів проекту</t>
  </si>
  <si>
    <t>Аудит</t>
  </si>
  <si>
    <t>Послуги бухгалтерські, фінансові та екаунтинг</t>
  </si>
  <si>
    <t>Послуги юридичні (з учасниками, експертами, підрядниками))</t>
  </si>
  <si>
    <t>Послуги Монтажу відеороликів кожного учасника (6 роликів), з матеріалу який був знятий на Презентації колекцій та 1 загальний ролик (підсумковий)</t>
  </si>
  <si>
    <t>Телефонія (мобільна, іноземні переговори)</t>
  </si>
  <si>
    <t>Послуги візажистів і перукарів для учасників під час Презентації (для 6 учасників)</t>
  </si>
  <si>
    <t>Послуги моделей для учасників під час Презентації (для 6 учасників)</t>
  </si>
  <si>
    <t>образів</t>
  </si>
  <si>
    <t>осіб</t>
  </si>
  <si>
    <t>Доставка WOW-box (100 шт) Київ-Париж/Німеччина службою доставки та доставка до адресатів в залежності від країни</t>
  </si>
  <si>
    <t>Послуги технічних спеціалістів-консультантів по створенню технічного плану та супроводженню он-лайн странсляції (Презентація колекцій)</t>
  </si>
  <si>
    <t>Послуги Call-center на зібір заявок та коммунікацію з учасниками</t>
  </si>
  <si>
    <t>Витрата за надання послуг ведучого (професійний ведучий) - проведення Презентації (показів) учасників</t>
  </si>
  <si>
    <t xml:space="preserve">Витрата за надання послуг режисеру заходу - Презентація учасників </t>
  </si>
  <si>
    <t>Витрата за надання послуг координатору заходу - Презентація учасників</t>
  </si>
  <si>
    <t>Менеджер по комунікаціям,</t>
  </si>
  <si>
    <t xml:space="preserve">Фахівець з продажів на міжнародному ринку, </t>
  </si>
  <si>
    <t>і</t>
  </si>
  <si>
    <t>Назва заявника: Громадська організація "Нью Фешн Зон"</t>
  </si>
  <si>
    <t>ЛОТ: Лот 6. Мода і дизайн</t>
  </si>
  <si>
    <t>від "23" червня  2020 року</t>
  </si>
  <si>
    <t>Конкурсна програма: Інноваційний культурний продукт</t>
  </si>
  <si>
    <t>за період з 23.06.2020  по 03.11.2020</t>
  </si>
  <si>
    <t>за проектом</t>
  </si>
  <si>
    <t xml:space="preserve"> "Ukrainian Fresh Fashion Days 2020 - перша міжнародна онлайн-презентація колекцій українських дизайнерів"</t>
  </si>
  <si>
    <t xml:space="preserve">у період з </t>
  </si>
  <si>
    <t>23 червня 2020 року по 06 листопада 2020 року</t>
  </si>
  <si>
    <t>Документальне підтвердження</t>
  </si>
  <si>
    <t>Розділ/ Підрозділ/ Стаття / Пункт</t>
  </si>
  <si>
    <t>Сума, грн</t>
  </si>
  <si>
    <t>Назва контрагента (код ЄДРПОУ) / Виконавець (ІПН)</t>
  </si>
  <si>
    <t>Договір, додатки до договору (номер та дата)</t>
  </si>
  <si>
    <t>Акт/ Видаткова накладна/ Акт списання (номер, дата)</t>
  </si>
  <si>
    <t>Сума оплати, грн</t>
  </si>
  <si>
    <t>Платіжне доручення (номер п/д, дата списання коштів  рахунку)</t>
  </si>
  <si>
    <t>Керівник проекту - Порядіна-Гривнак Ю. П.</t>
  </si>
  <si>
    <t>Порядіна-Гривнак Ю. П. (3101410888)</t>
  </si>
  <si>
    <t>Розрахунково-платіжна відомість № ГО-0000008 за Червень 2020
Звіт Порядіної-Гривнак Ю.П. за червень 2020</t>
  </si>
  <si>
    <t>№ 275, 17.07.2020</t>
  </si>
  <si>
    <t>№ 273, 17.07.2020</t>
  </si>
  <si>
    <t>№ 274, 17.07.2020</t>
  </si>
  <si>
    <t>Розрахунково-платіжна відомість № ГО-0000013 за Липень 2020
Звіт Порядіної-Гривнак Ю.П. за липень 2020</t>
  </si>
  <si>
    <t>№ 286, 03.08.2020</t>
  </si>
  <si>
    <t>№ 288, 03.08.2020</t>
  </si>
  <si>
    <t>№ 289, 03.08.2020</t>
  </si>
  <si>
    <t>Розрахунково-платіжна відомість № ГО-0000014 за Серпень 2020
Звіт Порядіної-Гривнак Ю.П. за серпень 2020</t>
  </si>
  <si>
    <t>№ 302, 09.09.2020</t>
  </si>
  <si>
    <t>№ 305, 09.09.2020</t>
  </si>
  <si>
    <t>№ 304, 09.09.2020</t>
  </si>
  <si>
    <t>Розрахунково-платіжна відомість № ГО-0000015 за Вересень 2020
Звіт Порядіної-Гривнак Ю.П. за вересень 2020</t>
  </si>
  <si>
    <t>№ 323, 08.10.2020</t>
  </si>
  <si>
    <t>№ 324, 08.10.2020</t>
  </si>
  <si>
    <t>№ 325, 08.10.2020</t>
  </si>
  <si>
    <t>Розрахунково-платіжна відомість № ГО-0000017 за Жовтень 2020
Звіт Порядіної-Гривнак Ю.П. за жовтень 2020</t>
  </si>
  <si>
    <t>№ 328, 20.10.2020</t>
  </si>
  <si>
    <t>№ 330, 20.10.2020</t>
  </si>
  <si>
    <t>№ 331, 20.10.2020</t>
  </si>
  <si>
    <t>Маркетолог - Козловська Тетяна</t>
  </si>
  <si>
    <t>Козловська Т.О. (3554610120)</t>
  </si>
  <si>
    <t>Розрахунково-платіжна відомість № ГО-0000008 за Червень 2020
Звіт Козловської Т. О. за червень 2020</t>
  </si>
  <si>
    <t>№ 276, 17.07.2020</t>
  </si>
  <si>
    <t>Розрахунково-платіжна відомість № ГО-0000013 за Липень 2020
Звіт Козловської Т. О. за липень 2020</t>
  </si>
  <si>
    <t>№ 285, 03.08.2020</t>
  </si>
  <si>
    <t>Розрахунково-платіжна відомість № ГО-0000014 за Серпень 2020
Звіт Козловської Т. О. за серпень 2020</t>
  </si>
  <si>
    <t>№ 303, 09.09.2020</t>
  </si>
  <si>
    <t>Розрахунково-платіжна відомість № ГО-0000015 за Вересень 2020
Звіт Козловської Т. О. за вересень 2020</t>
  </si>
  <si>
    <t>№ 322, 08.10.2020</t>
  </si>
  <si>
    <t>Розрахунково-платіжна відомість № ГО-0000017 за Жовтень 2020
Звіт Козловської Т. О. за живтень 2020</t>
  </si>
  <si>
    <t>№ 327, 20.10.2020</t>
  </si>
  <si>
    <t>Adrien Clement Bortotto</t>
  </si>
  <si>
    <t>№ 22/07/3 від 22.07.2020
дод. № 1 до договору</t>
  </si>
  <si>
    <t xml:space="preserve">Інвойс 25.09.2020 до договору № 22/07/3
Бухгалтерська довідка 19.10.2020 </t>
  </si>
  <si>
    <t>№ K0929BA8G9, 29.09.2020</t>
  </si>
  <si>
    <t>№ 310, 30.09.2020</t>
  </si>
  <si>
    <t>№ 311, 30.09.2020</t>
  </si>
  <si>
    <t>Karetyna Karmachova</t>
  </si>
  <si>
    <t>№ 22/07/1 від 22.07.2020,
дод. № 1 до договору</t>
  </si>
  <si>
    <t xml:space="preserve">Інвойс від 25.09.2020 до договору № 22/07/1
Бухгалтерська довідка 19.10.2020 </t>
  </si>
  <si>
    <t>№ K1002BC024, 02.10.2020</t>
  </si>
  <si>
    <t>№ 313, 02.10.2020</t>
  </si>
  <si>
    <t>№ 319, 06.10.2020</t>
  </si>
  <si>
    <t>№ 312, 02.10.2020</t>
  </si>
  <si>
    <t>№ 318, 06.10.2020</t>
  </si>
  <si>
    <t>Maud Charlotte Pupato</t>
  </si>
  <si>
    <t>№ 22/07/2 від 22.07.2020, дод. № 1 до договору</t>
  </si>
  <si>
    <t xml:space="preserve">Інвойс від 25.09.2020 до договору № 22/07/2
Бухгалтерська довідка 19.10.2020 </t>
  </si>
  <si>
    <t>№ K1002BBZVO, 02.10.2020</t>
  </si>
  <si>
    <t>№ 315, 02.10.2020</t>
  </si>
  <si>
    <t>№ 314, 02.10.2020</t>
  </si>
  <si>
    <t>№ 317, 06.10.2020</t>
  </si>
  <si>
    <t>№ 316, 06.10.2020</t>
  </si>
  <si>
    <t>Повернення коштів як погашення сплат, здійснених з рахунку НФЗ</t>
  </si>
  <si>
    <t xml:space="preserve">Бухгалтерська довідка 19.10.2020 </t>
  </si>
  <si>
    <t>ЄСВ. Керівник проекту, Порядіна Юлія</t>
  </si>
  <si>
    <t>№ 272, 17.07.2020</t>
  </si>
  <si>
    <t>№ 287, 03.08.2020</t>
  </si>
  <si>
    <t>№ 306, 09.09.2020</t>
  </si>
  <si>
    <t>№ 326, 08.10.2020</t>
  </si>
  <si>
    <t>№ 329, 20.10.2020</t>
  </si>
  <si>
    <t>ЄСВ. Маркетолог, Козловська Тетяна</t>
  </si>
  <si>
    <t xml:space="preserve">Всього по підрозділу 2 "Соціальні внески": </t>
  </si>
  <si>
    <t>ТОВ "Сакскай" (38883067)</t>
  </si>
  <si>
    <t>Акт надання послуг № 1572, 16.10.2020
Протокол Зборів штатних працівників про затвердження локації для проведення заходу Ukrainian  New  Fashion Days 2020 - перша міжнародна онлайн-презентація колекцій українських дизайнерів, 24.06.2020</t>
  </si>
  <si>
    <t>№ 263, 07.07.2020</t>
  </si>
  <si>
    <t>№ 296, 03.09.2020</t>
  </si>
  <si>
    <t>Акт пошкодження майна, 16.10.2020</t>
  </si>
  <si>
    <t>Оренда Технічного обладнання для проведення Презентації колекцій учасників</t>
  </si>
  <si>
    <t>ФОП Покорук Сергій Миколайович (2942107471)</t>
  </si>
  <si>
    <t>№ 2020/09-07 від 07.09.2020, дод. № 1 до договору</t>
  </si>
  <si>
    <t xml:space="preserve">Акт здачі-приймання наданих послуг 16.10.2020
Протокол Зборів штатних працівників про Про перегляд комерційних пропозицій щодо оренди технічного обладнання, 07.09.2020 з додатками (комерційні пропозиції)
</t>
  </si>
  <si>
    <t>№ 331, 21.10.2020</t>
  </si>
  <si>
    <t>ФОП Маряшева Ганна Рафаеліївна (3163522505)</t>
  </si>
  <si>
    <t>Видаткова накладна № 28, 18.10.2020
Протокол Зборів штатних працівників про перегляд комерційних пропозицій щодо виготовлення картонної коробки для WOW-box креативних презент-запрошень, 01.09.2020 з додатками (комерційні пропозиції)</t>
  </si>
  <si>
    <t>№ 301, 08.09.2020</t>
  </si>
  <si>
    <t>№ 337, 21.10.2020</t>
  </si>
  <si>
    <t>ФОП Тимошенко-Лисова Яна Анатоліївна (3024414665)</t>
  </si>
  <si>
    <t xml:space="preserve">Видаткова накладна № 029, 24.09.2020
Протокол Зборів штатних працівників про перегляд комерційних пропозицій щодо виготовлення пластикової КОРОНИ для WOW-box креативних презент-запрошень, 01.09.2020 з додатками (комерційні пропозиції)
</t>
  </si>
  <si>
    <t>№ 298, 03.09.2020</t>
  </si>
  <si>
    <t>№ 306, 25.09.2020</t>
  </si>
  <si>
    <t>Акт здачі-прийняття виконання робіт (надання послуг) № 1, 24.09.2020
Протокол Зборів штатних працівників про перегляд комерційних пропозицій щодо виготовлення пластикової КОРОНИ для WOW-box креативних презент-запрошень, 01.09.2020 з додатками (комерційні пропозиції)</t>
  </si>
  <si>
    <t>№ 297, 03.09.2020</t>
  </si>
  <si>
    <t>Протокол зборів про затвердження форми  WOW-box –креативне презент-запрошення 03.08.2020
Акт списання № ГО-0000001 25.09.2020</t>
  </si>
  <si>
    <t>ФОП Харчова Тетяна Валентинівна (3126512123)</t>
  </si>
  <si>
    <t>Акт надання послуг 20.10.2020
Протокол Зборів штатних працівників Про перегляд комерційних пропозицій щодо дизайну і розробці графічного контенту проекту 23.06.2020 з додатками (комерційні пропозиції)</t>
  </si>
  <si>
    <t>№ 338, 21.10.2020</t>
  </si>
  <si>
    <t>Всього по підрозділу 8 "Послуги із виготовлення":</t>
  </si>
  <si>
    <t>ФОП Михайльчишина Софія Леонідівна (3253101603)</t>
  </si>
  <si>
    <t>№ 261, 07.07.2020</t>
  </si>
  <si>
    <t>№ 277, 20.07.2020</t>
  </si>
  <si>
    <t>№ 279, 23.07.2020</t>
  </si>
  <si>
    <t>№ 305, 10.09.2020</t>
  </si>
  <si>
    <t>№ 325, 13.10.2020</t>
  </si>
  <si>
    <t>ТОВ "ЕЙЧ ЕС Україна" (31088698)</t>
  </si>
  <si>
    <t>Акт надання послуг № 1699, 28.10.2020</t>
  </si>
  <si>
    <t>№ 344, 23.10.2020</t>
  </si>
  <si>
    <t>ТОВ "ДІДЖИТАЛ ЛЮКС МЕДІА" (39535490)</t>
  </si>
  <si>
    <t>№ 19/10/20р, 19.10.2020
дод. № 1 до договору</t>
  </si>
  <si>
    <t>Акт надання послуг № 63, 31.10.2020</t>
  </si>
  <si>
    <t>№ 345,26.10.2020</t>
  </si>
  <si>
    <t>Дочірнє підприємство з 100% іноземною інвестицією "Бурда-Україна" (24740397)</t>
  </si>
  <si>
    <t>№ 2504, 01.10.2020
дод. № 1 до договору</t>
  </si>
  <si>
    <t>Акт надання послуг № 1648, 31.10.2020</t>
  </si>
  <si>
    <t>№ 365, 02.11.2020</t>
  </si>
  <si>
    <t>ФОП Кобзар Каріна Вадимівна (3583710767)</t>
  </si>
  <si>
    <t>№ 15              від 01.10.2020</t>
  </si>
  <si>
    <t>Акт приймання-передачі наданих послуг № 15, 19.10.2020
Протокол Зборів штатних працівників про перегляд комерційних пропозицій, 04.10.2020 з додатками (комерційні пропозиції)</t>
  </si>
  <si>
    <t>№ 2020/10-12 від 12.10.2020</t>
  </si>
  <si>
    <t xml:space="preserve">Акт здачі-приймання наданих послуг 16.10.2020
Протокол Зборів штатних працівників про перегляд комерційних пропозицій щодо відеоз’йомки на протязі презентації, 07.10.2020 з додатками (комерційні пропозиції)
</t>
  </si>
  <si>
    <t>№ 332, 21.10.2020</t>
  </si>
  <si>
    <t>Наказ № 12-м, від 23.06.2020</t>
  </si>
  <si>
    <t>Звіт про використання коштів, виданих на відрядження або під звіт № ГО-0000002, 31.08.2020</t>
  </si>
  <si>
    <t>№ 334, 21.10.2020</t>
  </si>
  <si>
    <t>Бухгалтерська довідка  21.10.2020</t>
  </si>
  <si>
    <t>№ 364, 02.11.2020</t>
  </si>
  <si>
    <t>Звіт про використання коштів, виданих на відрядження або під звіт № ГО-0000003, 07.10.2020</t>
  </si>
  <si>
    <t>№ 335, 21.10.2020</t>
  </si>
  <si>
    <t>Всього по підрозділу 9"Послуги з просування":</t>
  </si>
  <si>
    <t>ФОП Полтавцева Наталія Станіславівна (3195922387)</t>
  </si>
  <si>
    <t>№ 2020/07-02 від 02.07.2020</t>
  </si>
  <si>
    <t>ФОП Гондюл Олександра Дмитрівна (3512712563)</t>
  </si>
  <si>
    <t>ПРО НА ПОСЛУГИ ІЗ ПЕРЕКЛАДУ № 02-09-2020 від 02.09.2020</t>
  </si>
  <si>
    <t>Акт надання послуг від 13.10.2020</t>
  </si>
  <si>
    <t>№ 340, 22.10.2020</t>
  </si>
  <si>
    <t>ФОП Клімов Іван Сергійович (3527905096)</t>
  </si>
  <si>
    <t>№ 13-07-202 від 13.07.2020</t>
  </si>
  <si>
    <t>№ 278, 23.07.2020</t>
  </si>
  <si>
    <t>№ 291, 17.08.2020</t>
  </si>
  <si>
    <t>№ 300, 08.09.2020</t>
  </si>
  <si>
    <t>№ 339, 21.10.2020</t>
  </si>
  <si>
    <t>ГАЛАР-АУДИТ ТОВ (32347899)</t>
  </si>
  <si>
    <t>№ 14-А          від 29.09.2020</t>
  </si>
  <si>
    <r>
      <t xml:space="preserve">Акт № 14-А-1 приймання-передачі наданих послуг 04.11.2020
 </t>
    </r>
    <r>
      <rPr>
        <sz val="10"/>
        <color theme="1"/>
        <rFont val="Times New Roman"/>
        <family val="1"/>
        <charset val="204"/>
      </rPr>
      <t xml:space="preserve">
Протокол Зборів штатних працівників про перегляд комерційних пропозицій щодо аудиторських послуг, 24.06.2020 з додатками (комерційні пропозиції)
</t>
    </r>
  </si>
  <si>
    <t>№ 309, 30.09.2020</t>
  </si>
  <si>
    <t>№ 346, 27.10.2020</t>
  </si>
  <si>
    <t>ФОП Котов Андрій Валерійович (3113819273)</t>
  </si>
  <si>
    <t>№ 326, 13.10.2020</t>
  </si>
  <si>
    <t>ФОП Степанченко Андрій Володимирович (3199806773)</t>
  </si>
  <si>
    <t>№ 20/06-23, 23.06.2020</t>
  </si>
  <si>
    <t>Акт приймання-передачі наданих послуг № 1, 30.06.2020</t>
  </si>
  <si>
    <t>№ 336, 21.10.2020</t>
  </si>
  <si>
    <t>Акт приймання-передачі наданих послуг № 2, 31.07.2020</t>
  </si>
  <si>
    <t>Акт приймання-передачі наданих послуг № 3, 31.08.2020</t>
  </si>
  <si>
    <t>Акт приймання-передачі наданих послуг № 4, 30.09.2020</t>
  </si>
  <si>
    <t>Акт приймання-передачі наданих послуг № 5, 20.10.2020</t>
  </si>
  <si>
    <t>Акт здачі-приймання наданих послуг від 20.10.2020
Протокол Зборів штатних працівників про перегляд комерційних пропозицій щодо монтажу відеороликів, 30.09.2020 з додатками (комерційні пропозиції)</t>
  </si>
  <si>
    <t>№ 333, 21.10.2020</t>
  </si>
  <si>
    <t>№ 343, 22.10.2020</t>
  </si>
  <si>
    <t>№ 2020/09-28 від 28.09.2020, дод. № 1 до договору від 28.09.2020</t>
  </si>
  <si>
    <t>Акт приймання-передачі наданих послуг від 16.10.2020
Протокол Зборів штатних працівників про перегляд комерційних пропозицій щодо послуг спеціаліста-консультанта щодо створення технічного плану та супроводу онлайн- трансляції, 25.09.2020 з додатками (комерційні пропозиції)</t>
  </si>
  <si>
    <t>№ 341, 22.10.2020</t>
  </si>
  <si>
    <t>№ 23/06 від 23.06.2020</t>
  </si>
  <si>
    <t>Акт надання послуг 30.10.2020
Бухгалтерська довідка 02.11.2020 
Протокол Зборів штатних працівників про перегляд комерційних пропозицій щодо PR супроводу, висвітлення проєкту у ЗМІ, комунікація із ЗМІ та розміщення реклами в засобах масової інформації відповідно до Комунікаційної стратегії проєкту 23.06.2020 з додатками (комерційні пропозиції)</t>
  </si>
  <si>
    <t>№ 260, 07.07.2020</t>
  </si>
  <si>
    <t>№ 292, 20.08.2020</t>
  </si>
  <si>
    <t>№ 367, 03.11.2020</t>
  </si>
  <si>
    <t>ФОП Кушнір Дмитро Михайлович (2920014490)</t>
  </si>
  <si>
    <t>№ 4/20 від 01.07.2020</t>
  </si>
  <si>
    <t xml:space="preserve">Акт надання послуг 29.10.2020
Протокол Зборів штатних працівників про затвердження підрядника ФОП Кушніра Дмитра Михайловича на позицію Фахівця з продажів на міжнародному ринку, 01.07.2020
</t>
  </si>
  <si>
    <t>№ 347, 27.10.2020</t>
  </si>
  <si>
    <t>Заключна виписка розрахункового рахунку ГО, що було відкрито для розрахунків по витратам за рахунок гранту УКФ                                           (№UA 783206490000026001052747346) за період з 01.06.2020 по 03.11.2020</t>
  </si>
  <si>
    <t>Меморіальний ордер                       № 0930В6613А, 30.09.2020</t>
  </si>
  <si>
    <t>№ 0930В6613А, 30.09.2020</t>
  </si>
  <si>
    <t>Бухгалтерська довідка               від 19.10.2020</t>
  </si>
  <si>
    <t>Катерина Кармачова</t>
  </si>
  <si>
    <t>Меморіальний ордер                    № 1002В040КА, 02.10.2020</t>
  </si>
  <si>
    <t>№ 1002В040КА, 02.10.2020</t>
  </si>
  <si>
    <t>Бухгалтерська довідка                       від 19.10.2020</t>
  </si>
  <si>
    <t>Мод Шарлотта Пупато</t>
  </si>
  <si>
    <t>Меморіальний ордер                              № 1002В040КА, 02.10.2020</t>
  </si>
  <si>
    <t>№ 1002В04В8А, 02.10.2020</t>
  </si>
  <si>
    <t>Терехова М. О. (2973710806)</t>
  </si>
  <si>
    <t>№ 2020/06-23, 23.06.2020</t>
  </si>
  <si>
    <t>Акт прийому наданих послуг від 30.06.2020
Розрахунково-платіжна відомість № ГО-0000008 за Червень 2020 р.</t>
  </si>
  <si>
    <t>№ 271, 17.07.2020</t>
  </si>
  <si>
    <t>№ 269, 17.07.2020</t>
  </si>
  <si>
    <t>№ 270, 17.07.2020</t>
  </si>
  <si>
    <t>Акт прийому наданих послуг від 31.07.2020
Розрахунково-платіжна відомість № ГО-0000013 за Липень 2020</t>
  </si>
  <si>
    <t>№ 291, 03.08.2020</t>
  </si>
  <si>
    <t>№ 292, 03.08.2020</t>
  </si>
  <si>
    <t>Акт прийому наданих послуг від 31.08.2020
Розрахунково-платіжна відомість № ГО-0000014 за Серпень 2020</t>
  </si>
  <si>
    <t>№ 307, 09.09.2020</t>
  </si>
  <si>
    <t>Акт прийому наданих послуг від 30.09.2020
Розрахунково-платіжна відомість № ГО-0000015 за Вересень 2020</t>
  </si>
  <si>
    <t>Акт прийому наданих послуг від 30.10.2020
Розрахунково-платіжна відомість № ГО-0000017 за Жовтень 2020</t>
  </si>
  <si>
    <t>№ 332, 20.10.2020</t>
  </si>
  <si>
    <t>ЄСВ. Ментор, Експерт-спеціаліcт з налагодження зв'язків - Марія Терехова</t>
  </si>
  <si>
    <t>№ 268, 17.07.2020</t>
  </si>
  <si>
    <t>№ 290, 03.08.2020</t>
  </si>
  <si>
    <t>№ 2020/09-07 від 07.09.2020, 
дод. № 1 до договору № 2020/09-07</t>
  </si>
  <si>
    <t>№ 348, 29.10.2020</t>
  </si>
  <si>
    <t>№ 350, 29.10.2020</t>
  </si>
  <si>
    <t>Акт здачі прийняття робіт 18.09.2020
Протокол Зборів штатних працівників про перегляд комерційних пропозицій щодо створення 3D об’єкта (AR mask  у вигляді корони) з імплементацією у Instagram та  Facebook для WOW-box креативних презент-запрошень, 01.09.2020 з додатками (комерційні пропозиції)</t>
  </si>
  <si>
    <t>№ 349, 29.10.2020</t>
  </si>
  <si>
    <t>№ 308, 29.09.2020</t>
  </si>
  <si>
    <t>№ 351, 29.10.2020</t>
  </si>
  <si>
    <t>Акт приймання-передачі наданих послуг № 1, 02.07.2020 
Протокол про використання сайту, 02.07.2020 
Протокол Зборів штатних працівників про перегляд комерційних пропозицій щодо розробки та підтримки сайту Проєкту, 02.07.2020 з додатками (комерційні пропозиції)</t>
  </si>
  <si>
    <t>№ 352, 29.10.2020</t>
  </si>
  <si>
    <t>№ 353, 29.10.2020</t>
  </si>
  <si>
    <t>Порядіна-Гривнак Ю. П. (3101410888)
Козловська Т. О. (3554610120)</t>
  </si>
  <si>
    <t>Наказ № 11-П, 23.06.2020</t>
  </si>
  <si>
    <t>Звіт про використання коштів, виданих на відрядження або під звіт № ГО-0000004, 11.08.2020</t>
  </si>
  <si>
    <t>Звіт про використання коштів, виданих на відрядження або під звіт № ГО-0000005, 31.08.2020</t>
  </si>
  <si>
    <t>ФОП Пеніцин Костянтин Володимирович (3175400358)</t>
  </si>
  <si>
    <t>№ 2020/09-28 від 28.09.2020</t>
  </si>
  <si>
    <t>Акт приймання-передачі наданих послуг № 1, 19.10.2020
Протокол Зборів штатних працівників про перегляд комерційних пропозицій щодо послуг, по статтям  14.4 б «послуги візажистів і перукарів для учасників під час Презентації» та 14.4 в «послуги моделей для учасників під час Презентації», 28.09.2020 з додатками (комерційні пропозиції)</t>
  </si>
  <si>
    <t>№ 356, 29.10.2020</t>
  </si>
  <si>
    <t>№ 2020/09-28-1 від 28.09.2020</t>
  </si>
  <si>
    <t>Акт приймання-передачі наданих послуг № 1, 19.10.2020
2. Протокол Зборів штатних працівників про перегляд комерційних пропозицій щодо послуг, по статтям  14.4 б «послуги візажистів і перукарів для учасників під час Презентації» та 14.4 в «послуги моделей для учасників під час Презентації», 28.09.2020 з додатками (комерційні пропозиції)</t>
  </si>
  <si>
    <t>№ 357, 29.10.2020</t>
  </si>
  <si>
    <t>ТОВ "Нова Пошта Інтернешнл" (38130410)</t>
  </si>
  <si>
    <t>Лист № 200, 02.11.2020</t>
  </si>
  <si>
    <t>ФОП Кулик Олег Володимирович (3037918139)</t>
  </si>
  <si>
    <t>№ 361, 29.10.2020</t>
  </si>
  <si>
    <t>№16 від 05.10.2020</t>
  </si>
  <si>
    <t>Акт приймання-передачі наданих послуг № 16, 19.10.2020
Протокол Зборів штатних працівників про перегляд комерційних пропозицій, 04.10.2020 з додатками (комерційні пропозиції)</t>
  </si>
  <si>
    <t>№ 358, 29.10.2020</t>
  </si>
  <si>
    <t>Акт приймання-передачі наданих послуг № 1, 19.10.2020
Протокол Зборів штатних працівників про перегляд комерційних пропозицій  щодо послуг режисеру заходу, 01.09.2020 з додатками (комерційні пропозиції)</t>
  </si>
  <si>
    <t>№ 359, 29.10.2020</t>
  </si>
  <si>
    <t>№14 від 10.09.2020, дод. № 1 до договору</t>
  </si>
  <si>
    <t>Акт приймання-передачі наданих послуг № 14, 19.10.2020
Протокол Зборів штатних працівників про перегляд комерційних пропозицій, 04.10.2020 з додатками (комерційні пропозиції)</t>
  </si>
  <si>
    <t>№ 360, 29.10.2020</t>
  </si>
  <si>
    <t>№ 362, 29.10.2020</t>
  </si>
  <si>
    <t>№ 363, 29.10.2020</t>
  </si>
  <si>
    <t>Банківська виписка розрахункового рахунку ГО №UA743206490000026000052697691  ГО "НФЗ" за період 23.06.2020 по 03.11.2020</t>
  </si>
  <si>
    <t>Лист ГО «НФЗ» № 2910 від 29.10.2020 про  зміни у кошторисі</t>
  </si>
  <si>
    <t xml:space="preserve">Наказ № 1-ГО від 15.05.2018 про призначення на посаду директора громадської організації «НЬЮ ФЕШН ЗОН»
Наказ № 15-П від 31.07.2020 про преміювання
Наказ № 16-П від 31.08.2020 про преміювання
Наказ № 17-П від 30.09.2020 про преміювання
</t>
  </si>
  <si>
    <t xml:space="preserve">
Наказ № 12-П від 30.06.2020 про преміювання
Наказ № 15-П від 31.07.2020 про преміювання
Наказ № 16-П від 31.08.2020 про преміювання
Наказ № 17-П від 30.09.2020 про преміювання
</t>
  </si>
  <si>
    <t xml:space="preserve">№ 82 від 15.07.2020, додаток № 1 від 15.07.2020, додаток № 2 від 15.07.2020   </t>
  </si>
  <si>
    <t>№ 2020/09-01 від 01.09.2020 додаток № 1 від 01.09.2020</t>
  </si>
  <si>
    <t>№ 02-09-20               від 02.09.2020 додаток № 1 від 02.09.2020</t>
  </si>
  <si>
    <t xml:space="preserve">№ 23/06         від 23.06.2020 додаток № 1 від 23.06.2020 </t>
  </si>
  <si>
    <t>№ 23/06-02        від 23.06.2020 додаток №1 від 23.06.2020</t>
  </si>
  <si>
    <t>Акт надання послуг 30.10.2020
Звіт до акту  30.10.2020
Протокол Зборів штатних працівників Про перегляд комерційних пропозицій щодо дизайну і розробці графічного контенту проекту 23.06.2020 з додатками (комерційні пропозиції)</t>
  </si>
  <si>
    <t>№ 28-ІР/10-20 від 01.10.2020</t>
  </si>
  <si>
    <t>№ 2020/07-02 від 02.07.2020 додаток № 1 від 02.07.2020</t>
  </si>
  <si>
    <t>Акт приймання-передачі наданих послуг № 1, 08.10.2020
Протокол про використання сайту, 02.07.2020
Протокол Зборів штатних працівників про перегляд комерційних пропозицій щодо розробки та підтримки сайту Проєкту, 02.07.2020 з додатками (комерційні пропозиції)</t>
  </si>
  <si>
    <t>№ 2306           від 23.06.2020 додаток № 1 від 23.06.2020</t>
  </si>
  <si>
    <t>№ 2020/10-01 від 01.10.2020
дод. № 1 від 01.10.2020</t>
  </si>
  <si>
    <t>№ 23/06 від 23.06.2020, додаток № 1 від 23.06.2020 ( в ст. 8.1)</t>
  </si>
  <si>
    <t>№ 4/20 від 01.07.2020, додаток № 1 від 01.07.2020</t>
  </si>
  <si>
    <t>Звіт за договором</t>
  </si>
  <si>
    <t>№ 2020/09-01 від 01.09.2020, додаток № 1 від 01.09.2020</t>
  </si>
  <si>
    <t>Видаткова накладна № 28, 18.09.2020
Протокол Зборів штатних працівників про перегляд комерційних пропозицій щодо виготовлення картонної коробки для WOW-box креативних презент-запрошень, 01.09.2020 з додатками (комерційні пропозиції)</t>
  </si>
  <si>
    <t>№ 2020/09-02 від  02.09.2020, додаток № 1 від 02.09.2020</t>
  </si>
  <si>
    <t>№ 2020/10-01 від 01.10.2020, додаток №1 від 01.10.2020</t>
  </si>
  <si>
    <t>Акт здачі-приймання наданих послуг від 20.10.2020
Протокол Зборів штатних працівників про перегляд комерційних пропозицій щодо монтажу відеороликів 30.09.2020 з додатками  (комерційні пропозиції)</t>
  </si>
  <si>
    <t>№159186 від 21.09.2020, додаток № 1 від 21.09.2020</t>
  </si>
  <si>
    <t>№ 2020/07-01 від 01.07.2020, додаток № 1 від 01.07.2020</t>
  </si>
  <si>
    <t>№ 2020/09-11, 01.09.2020
дод. № 1</t>
  </si>
  <si>
    <t>Акт надання послуг 31.07.2020</t>
  </si>
  <si>
    <t>Акт надання послуг 31.08.2020</t>
  </si>
  <si>
    <t>Акт надання послуг 30.09.2020</t>
  </si>
  <si>
    <t>Акт надання послуг 31.10.2020</t>
  </si>
  <si>
    <t xml:space="preserve">Акт надання послуг 30.06.2020
</t>
  </si>
  <si>
    <t>Протокол Зборів штатних працівників про перегляд комерційних пропозицій щодо аудиторських послуг, 22.06.2020 з додатками (комерційні пропозиції)</t>
  </si>
  <si>
    <t xml:space="preserve">Акт приймання-передачі наданих послуг № 1, 31.07.2020 
</t>
  </si>
  <si>
    <t>Акт приймання-передачі наданих послуг № 2, 31.08.2020 Протокол Зборів штатних працівників про перегляд комерційних пропозицій щодо послуги Call-center, 01.07.2020 з додатками (комерційні пропозиції)</t>
  </si>
  <si>
    <t xml:space="preserve">Звіт відрахувань у Фонди за Червень 2020 </t>
  </si>
  <si>
    <t xml:space="preserve">Звіт відрахувань у Фонди за Липень 2020 </t>
  </si>
  <si>
    <t xml:space="preserve">Звіт відрахувань у Фонди за Серпень 2020 </t>
  </si>
  <si>
    <t xml:space="preserve">Звіт  відрахувань у Фонди за Вересень 2020 </t>
  </si>
  <si>
    <t>Звіт  відрахувань у Фонди за Жовтень 2020</t>
  </si>
  <si>
    <t xml:space="preserve">Звіт відрахувань у Фонди за Вересень 2020 </t>
  </si>
  <si>
    <t xml:space="preserve">Звіт  відрахувань у Фонди за Серпень 2020 </t>
  </si>
  <si>
    <t xml:space="preserve">Звіт  відрахувань у Фонди за Червень 2020 </t>
  </si>
  <si>
    <t xml:space="preserve">Звіт  відрахувань у Фонди за Липень 2020 </t>
  </si>
  <si>
    <t>Реєстр документів, що підтверджують достовірність витрат та цільового використання коштів</t>
  </si>
  <si>
    <t>до Договору про надання гранту № 3ІСР63-6399</t>
  </si>
  <si>
    <t>ФОП Котов А.В.</t>
  </si>
  <si>
    <t>Котов Андрій Валерійович</t>
  </si>
  <si>
    <t>Акт надання послуг від 21.07.2020 зі звітом</t>
  </si>
  <si>
    <t>Акт надання послуг від 17.08.2020 зі звітом</t>
  </si>
  <si>
    <t>Акт надання послуг від 23.08.2020 зі звітом</t>
  </si>
  <si>
    <t>Акт надання послуг від 19.10.2020 зі звітом</t>
  </si>
  <si>
    <t>Менеджер по комунікаціям, Наталя Толуб</t>
  </si>
  <si>
    <t>Фахівець з продажів на міжнародному ринку, Ельвіна Емірзакова</t>
  </si>
  <si>
    <t>ЄСВ. Менеджер по комунікаціям, Наталя Толуб</t>
  </si>
  <si>
    <t>ЄСВ. Фахівець з продажів на міжнародному ринку, Ельвіна Емірзакова</t>
  </si>
  <si>
    <t>ЄСВ. Маркетолог, Козловська Тетяна Олександрівна</t>
  </si>
  <si>
    <t>1.2</t>
  </si>
  <si>
    <t>За трудовими договорами</t>
  </si>
  <si>
    <t>обгунтування змін у Листі  з доповненням 01.07.2020, №2020-07-01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</si>
</sst>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₴&quot;_-;\-* #,##0.00&quot;₴&quot;_-;_-* &quot;-&quot;??&quot;₴&quot;_-;_-@_-"/>
    <numFmt numFmtId="164" formatCode="_-* #,##0.00\ _₴_-;\-* #,##0.00\ _₴_-;_-* &quot;-&quot;??\ _₴_-;_-@_-"/>
    <numFmt numFmtId="165" formatCode="&quot;$&quot;#,##0"/>
    <numFmt numFmtId="166" formatCode="_(&quot;$&quot;* #,##0.00_);_(&quot;$&quot;* \(#,##0.00\);_(&quot;$&quot;* &quot;-&quot;??_);_(@_)"/>
    <numFmt numFmtId="167" formatCode="#,##0.00_ ;[Red]\-#,##0.0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_ ;\-#,##0\ "/>
    <numFmt numFmtId="171" formatCode="_-* #,##0.00\ _₴_-;\-* #,##0.00\ _₴_-;_-* &quot;-&quot;??\ _₴_-;_-@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sz val="12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u/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rgb="FFDEEAF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rgb="FFECECEC"/>
      </patternFill>
    </fill>
    <fill>
      <patternFill patternType="solid">
        <fgColor theme="6" tint="0.59999389629810485"/>
        <bgColor rgb="FFDADADA"/>
      </patternFill>
    </fill>
    <fill>
      <patternFill patternType="solid">
        <fgColor theme="0"/>
        <bgColor rgb="FFDAD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EAF6"/>
        <bgColor rgb="FFDEEAF6"/>
      </patternFill>
    </fill>
  </fills>
  <borders count="9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/>
    <xf numFmtId="0" fontId="35" fillId="0" borderId="0"/>
  </cellStyleXfs>
  <cellXfs count="950">
    <xf numFmtId="0" fontId="0" fillId="0" borderId="0" xfId="0"/>
    <xf numFmtId="0" fontId="2" fillId="0" borderId="0" xfId="2" applyFont="1" applyFill="1" applyBorder="1"/>
    <xf numFmtId="0" fontId="3" fillId="0" borderId="0" xfId="2" applyFont="1" applyFill="1" applyBorder="1"/>
    <xf numFmtId="0" fontId="2" fillId="0" borderId="0" xfId="2" applyFont="1" applyFill="1" applyBorder="1" applyAlignment="1">
      <alignment horizontal="left" vertical="center"/>
    </xf>
    <xf numFmtId="0" fontId="8" fillId="0" borderId="0" xfId="2" applyFont="1" applyFill="1" applyBorder="1"/>
    <xf numFmtId="169" fontId="7" fillId="0" borderId="0" xfId="1" applyNumberFormat="1" applyFont="1" applyFill="1" applyBorder="1"/>
    <xf numFmtId="168" fontId="8" fillId="0" borderId="0" xfId="1" applyNumberFormat="1" applyFont="1" applyFill="1" applyBorder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2" fillId="0" borderId="0" xfId="0" applyFont="1"/>
    <xf numFmtId="0" fontId="14" fillId="0" borderId="0" xfId="0" applyFont="1"/>
    <xf numFmtId="0" fontId="5" fillId="7" borderId="15" xfId="2" applyFont="1" applyFill="1" applyBorder="1" applyAlignment="1">
      <alignment horizontal="center" vertical="center"/>
    </xf>
    <xf numFmtId="3" fontId="5" fillId="7" borderId="15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70" fontId="5" fillId="0" borderId="30" xfId="4" applyNumberFormat="1" applyFont="1" applyFill="1" applyBorder="1" applyAlignment="1">
      <alignment horizontal="center" vertical="top"/>
    </xf>
    <xf numFmtId="164" fontId="5" fillId="5" borderId="3" xfId="4" applyFont="1" applyFill="1" applyBorder="1" applyAlignment="1">
      <alignment vertical="top"/>
    </xf>
    <xf numFmtId="49" fontId="5" fillId="0" borderId="18" xfId="4" applyNumberFormat="1" applyFont="1" applyFill="1" applyBorder="1" applyAlignment="1">
      <alignment horizontal="center" vertical="top"/>
    </xf>
    <xf numFmtId="49" fontId="5" fillId="4" borderId="21" xfId="4" applyNumberFormat="1" applyFont="1" applyFill="1" applyBorder="1" applyAlignment="1">
      <alignment horizontal="center" vertical="top"/>
    </xf>
    <xf numFmtId="164" fontId="5" fillId="4" borderId="20" xfId="4" applyFont="1" applyFill="1" applyBorder="1" applyAlignment="1">
      <alignment vertical="top"/>
    </xf>
    <xf numFmtId="0" fontId="5" fillId="7" borderId="1" xfId="0" applyNumberFormat="1" applyFont="1" applyFill="1" applyBorder="1" applyAlignment="1">
      <alignment horizontal="center" vertical="center" wrapText="1"/>
    </xf>
    <xf numFmtId="164" fontId="5" fillId="8" borderId="8" xfId="4" applyFont="1" applyFill="1" applyBorder="1" applyAlignment="1">
      <alignment horizontal="center" vertical="top"/>
    </xf>
    <xf numFmtId="164" fontId="4" fillId="4" borderId="59" xfId="4" applyFont="1" applyFill="1" applyBorder="1" applyAlignment="1">
      <alignment vertical="top" wrapText="1"/>
    </xf>
    <xf numFmtId="164" fontId="2" fillId="0" borderId="28" xfId="4" applyFont="1" applyFill="1" applyBorder="1" applyAlignment="1">
      <alignment vertical="top" wrapText="1"/>
    </xf>
    <xf numFmtId="0" fontId="5" fillId="5" borderId="44" xfId="2" applyFont="1" applyFill="1" applyBorder="1" applyAlignment="1">
      <alignment horizontal="center" vertical="top"/>
    </xf>
    <xf numFmtId="167" fontId="2" fillId="5" borderId="3" xfId="2" applyNumberFormat="1" applyFont="1" applyFill="1" applyBorder="1" applyAlignment="1">
      <alignment vertical="top"/>
    </xf>
    <xf numFmtId="164" fontId="2" fillId="5" borderId="3" xfId="4" applyFont="1" applyFill="1" applyBorder="1" applyAlignment="1">
      <alignment vertical="top"/>
    </xf>
    <xf numFmtId="164" fontId="5" fillId="5" borderId="2" xfId="4" applyFont="1" applyFill="1" applyBorder="1" applyAlignment="1">
      <alignment horizontal="left" vertical="top" wrapText="1"/>
    </xf>
    <xf numFmtId="164" fontId="4" fillId="4" borderId="45" xfId="4" applyFont="1" applyFill="1" applyBorder="1" applyAlignment="1">
      <alignment vertical="top" wrapText="1"/>
    </xf>
    <xf numFmtId="164" fontId="8" fillId="5" borderId="3" xfId="4" applyFont="1" applyFill="1" applyBorder="1" applyAlignment="1">
      <alignment vertical="top"/>
    </xf>
    <xf numFmtId="164" fontId="2" fillId="5" borderId="3" xfId="4" applyFont="1" applyFill="1" applyBorder="1" applyAlignment="1">
      <alignment horizontal="center" vertical="top"/>
    </xf>
    <xf numFmtId="164" fontId="8" fillId="0" borderId="0" xfId="4" applyFont="1" applyFill="1" applyBorder="1"/>
    <xf numFmtId="0" fontId="0" fillId="0" borderId="0" xfId="0" applyBorder="1"/>
    <xf numFmtId="164" fontId="5" fillId="2" borderId="10" xfId="4" applyFont="1" applyFill="1" applyBorder="1"/>
    <xf numFmtId="0" fontId="9" fillId="0" borderId="0" xfId="0" applyFont="1" applyAlignment="1">
      <alignment vertical="top"/>
    </xf>
    <xf numFmtId="0" fontId="0" fillId="0" borderId="0" xfId="0" applyAlignment="1">
      <alignment wrapText="1"/>
    </xf>
    <xf numFmtId="3" fontId="5" fillId="3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164" fontId="11" fillId="9" borderId="52" xfId="4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5" fillId="7" borderId="15" xfId="2" applyFont="1" applyFill="1" applyBorder="1" applyAlignment="1">
      <alignment vertical="center" wrapText="1"/>
    </xf>
    <xf numFmtId="164" fontId="5" fillId="0" borderId="23" xfId="4" applyFont="1" applyFill="1" applyBorder="1" applyAlignment="1">
      <alignment vertical="top"/>
    </xf>
    <xf numFmtId="164" fontId="5" fillId="0" borderId="25" xfId="4" applyFont="1" applyFill="1" applyBorder="1" applyAlignment="1">
      <alignment vertical="top"/>
    </xf>
    <xf numFmtId="164" fontId="19" fillId="9" borderId="16" xfId="4" applyFont="1" applyFill="1" applyBorder="1" applyAlignment="1">
      <alignment vertical="top"/>
    </xf>
    <xf numFmtId="0" fontId="3" fillId="5" borderId="15" xfId="2" applyFont="1" applyFill="1" applyBorder="1" applyAlignment="1">
      <alignment vertical="top"/>
    </xf>
    <xf numFmtId="164" fontId="5" fillId="0" borderId="38" xfId="4" applyFont="1" applyFill="1" applyBorder="1" applyAlignment="1">
      <alignment vertical="top"/>
    </xf>
    <xf numFmtId="164" fontId="3" fillId="5" borderId="12" xfId="4" applyFont="1" applyFill="1" applyBorder="1" applyAlignment="1">
      <alignment vertical="top"/>
    </xf>
    <xf numFmtId="164" fontId="4" fillId="8" borderId="7" xfId="4" applyFont="1" applyFill="1" applyBorder="1" applyAlignment="1">
      <alignment vertical="top"/>
    </xf>
    <xf numFmtId="164" fontId="3" fillId="5" borderId="6" xfId="4" applyFont="1" applyFill="1" applyBorder="1" applyAlignment="1">
      <alignment vertical="top"/>
    </xf>
    <xf numFmtId="164" fontId="3" fillId="5" borderId="15" xfId="4" applyFont="1" applyFill="1" applyBorder="1" applyAlignment="1">
      <alignment vertical="top"/>
    </xf>
    <xf numFmtId="164" fontId="5" fillId="0" borderId="30" xfId="4" applyFont="1" applyFill="1" applyBorder="1" applyAlignment="1">
      <alignment vertical="top"/>
    </xf>
    <xf numFmtId="164" fontId="3" fillId="5" borderId="10" xfId="4" applyFont="1" applyFill="1" applyBorder="1" applyAlignment="1">
      <alignment vertical="top"/>
    </xf>
    <xf numFmtId="0" fontId="8" fillId="0" borderId="0" xfId="2" applyFont="1" applyFill="1" applyBorder="1" applyAlignment="1"/>
    <xf numFmtId="0" fontId="2" fillId="0" borderId="0" xfId="2" applyFont="1" applyFill="1" applyBorder="1" applyAlignment="1"/>
    <xf numFmtId="0" fontId="0" fillId="0" borderId="0" xfId="0" applyAlignment="1"/>
    <xf numFmtId="49" fontId="5" fillId="5" borderId="19" xfId="4" applyNumberFormat="1" applyFont="1" applyFill="1" applyBorder="1" applyAlignment="1">
      <alignment horizontal="center" vertical="top"/>
    </xf>
    <xf numFmtId="49" fontId="5" fillId="5" borderId="46" xfId="4" applyNumberFormat="1" applyFont="1" applyFill="1" applyBorder="1" applyAlignment="1">
      <alignment horizontal="center" vertical="top"/>
    </xf>
    <xf numFmtId="49" fontId="5" fillId="5" borderId="19" xfId="4" applyNumberFormat="1" applyFont="1" applyFill="1" applyBorder="1" applyAlignment="1">
      <alignment horizontal="center" vertical="top" wrapText="1"/>
    </xf>
    <xf numFmtId="49" fontId="5" fillId="5" borderId="44" xfId="4" applyNumberFormat="1" applyFont="1" applyFill="1" applyBorder="1" applyAlignment="1">
      <alignment horizontal="center" vertical="top"/>
    </xf>
    <xf numFmtId="49" fontId="5" fillId="5" borderId="47" xfId="4" applyNumberFormat="1" applyFont="1" applyFill="1" applyBorder="1" applyAlignment="1">
      <alignment horizontal="center" vertical="top"/>
    </xf>
    <xf numFmtId="164" fontId="5" fillId="5" borderId="63" xfId="4" applyFont="1" applyFill="1" applyBorder="1" applyAlignment="1">
      <alignment horizontal="center" vertical="top"/>
    </xf>
    <xf numFmtId="170" fontId="5" fillId="0" borderId="18" xfId="4" applyNumberFormat="1" applyFont="1" applyFill="1" applyBorder="1" applyAlignment="1">
      <alignment horizontal="center" vertical="top"/>
    </xf>
    <xf numFmtId="164" fontId="5" fillId="0" borderId="20" xfId="4" applyFont="1" applyFill="1" applyBorder="1" applyAlignment="1">
      <alignment vertical="top"/>
    </xf>
    <xf numFmtId="170" fontId="5" fillId="0" borderId="21" xfId="4" applyNumberFormat="1" applyFont="1" applyFill="1" applyBorder="1" applyAlignment="1">
      <alignment horizontal="center" vertical="top"/>
    </xf>
    <xf numFmtId="3" fontId="5" fillId="7" borderId="44" xfId="0" applyNumberFormat="1" applyFont="1" applyFill="1" applyBorder="1" applyAlignment="1">
      <alignment horizontal="center" vertical="center" wrapText="1"/>
    </xf>
    <xf numFmtId="164" fontId="2" fillId="0" borderId="50" xfId="4" applyFont="1" applyFill="1" applyBorder="1" applyAlignment="1">
      <alignment horizontal="center" vertical="top"/>
    </xf>
    <xf numFmtId="164" fontId="2" fillId="0" borderId="48" xfId="4" applyFont="1" applyFill="1" applyBorder="1" applyAlignment="1">
      <alignment horizontal="center" vertical="top"/>
    </xf>
    <xf numFmtId="164" fontId="11" fillId="9" borderId="43" xfId="4" applyFont="1" applyFill="1" applyBorder="1" applyAlignment="1">
      <alignment vertical="top"/>
    </xf>
    <xf numFmtId="164" fontId="5" fillId="4" borderId="50" xfId="4" applyFont="1" applyFill="1" applyBorder="1" applyAlignment="1">
      <alignment vertical="top"/>
    </xf>
    <xf numFmtId="164" fontId="2" fillId="0" borderId="68" xfId="4" applyFont="1" applyFill="1" applyBorder="1" applyAlignment="1">
      <alignment horizontal="center" vertical="top"/>
    </xf>
    <xf numFmtId="164" fontId="5" fillId="4" borderId="47" xfId="4" applyFont="1" applyFill="1" applyBorder="1" applyAlignment="1">
      <alignment vertical="top"/>
    </xf>
    <xf numFmtId="164" fontId="5" fillId="8" borderId="44" xfId="4" applyFont="1" applyFill="1" applyBorder="1" applyAlignment="1">
      <alignment vertical="top"/>
    </xf>
    <xf numFmtId="164" fontId="8" fillId="0" borderId="48" xfId="4" applyFont="1" applyFill="1" applyBorder="1" applyAlignment="1">
      <alignment horizontal="center" vertical="top"/>
    </xf>
    <xf numFmtId="164" fontId="8" fillId="8" borderId="44" xfId="4" applyFont="1" applyFill="1" applyBorder="1" applyAlignment="1">
      <alignment vertical="top"/>
    </xf>
    <xf numFmtId="164" fontId="8" fillId="0" borderId="48" xfId="4" applyFont="1" applyFill="1" applyBorder="1" applyAlignment="1">
      <alignment vertical="top" wrapText="1"/>
    </xf>
    <xf numFmtId="164" fontId="5" fillId="6" borderId="2" xfId="4" applyFont="1" applyFill="1" applyBorder="1" applyAlignment="1">
      <alignment horizontal="center" vertical="top"/>
    </xf>
    <xf numFmtId="164" fontId="2" fillId="5" borderId="4" xfId="4" applyFont="1" applyFill="1" applyBorder="1" applyAlignment="1">
      <alignment vertical="top"/>
    </xf>
    <xf numFmtId="0" fontId="3" fillId="0" borderId="0" xfId="2" applyFont="1" applyFill="1" applyBorder="1" applyAlignment="1">
      <alignment vertical="center" wrapText="1"/>
    </xf>
    <xf numFmtId="0" fontId="5" fillId="7" borderId="44" xfId="2" applyFont="1" applyFill="1" applyBorder="1" applyAlignment="1">
      <alignment horizontal="center" vertical="center" wrapText="1"/>
    </xf>
    <xf numFmtId="164" fontId="11" fillId="9" borderId="64" xfId="4" applyFont="1" applyFill="1" applyBorder="1" applyAlignment="1">
      <alignment vertical="top" wrapText="1"/>
    </xf>
    <xf numFmtId="0" fontId="3" fillId="5" borderId="2" xfId="2" applyFont="1" applyFill="1" applyBorder="1" applyAlignment="1">
      <alignment vertical="top" wrapText="1"/>
    </xf>
    <xf numFmtId="164" fontId="5" fillId="8" borderId="19" xfId="4" applyFont="1" applyFill="1" applyBorder="1" applyAlignment="1">
      <alignment vertical="top" wrapText="1"/>
    </xf>
    <xf numFmtId="164" fontId="3" fillId="5" borderId="2" xfId="4" applyFont="1" applyFill="1" applyBorder="1" applyAlignment="1">
      <alignment horizontal="left" vertical="top" wrapText="1"/>
    </xf>
    <xf numFmtId="164" fontId="8" fillId="8" borderId="19" xfId="4" applyFont="1" applyFill="1" applyBorder="1" applyAlignment="1">
      <alignment vertical="top" wrapText="1"/>
    </xf>
    <xf numFmtId="164" fontId="4" fillId="4" borderId="45" xfId="4" applyFont="1" applyFill="1" applyBorder="1" applyAlignment="1">
      <alignment horizontal="left" vertical="top" wrapText="1"/>
    </xf>
    <xf numFmtId="164" fontId="5" fillId="5" borderId="44" xfId="4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7" fontId="16" fillId="9" borderId="63" xfId="2" applyNumberFormat="1" applyFont="1" applyFill="1" applyBorder="1" applyAlignment="1">
      <alignment vertical="top"/>
    </xf>
    <xf numFmtId="167" fontId="16" fillId="9" borderId="44" xfId="2" applyNumberFormat="1" applyFont="1" applyFill="1" applyBorder="1" applyAlignment="1">
      <alignment vertical="top"/>
    </xf>
    <xf numFmtId="167" fontId="16" fillId="9" borderId="1" xfId="2" applyNumberFormat="1" applyFont="1" applyFill="1" applyBorder="1" applyAlignment="1">
      <alignment vertical="top"/>
    </xf>
    <xf numFmtId="167" fontId="16" fillId="9" borderId="44" xfId="1" applyNumberFormat="1" applyFont="1" applyFill="1" applyBorder="1" applyAlignment="1">
      <alignment vertical="top"/>
    </xf>
    <xf numFmtId="167" fontId="16" fillId="9" borderId="63" xfId="1" applyNumberFormat="1" applyFont="1" applyFill="1" applyBorder="1" applyAlignment="1">
      <alignment vertical="top"/>
    </xf>
    <xf numFmtId="167" fontId="16" fillId="9" borderId="1" xfId="1" applyNumberFormat="1" applyFont="1" applyFill="1" applyBorder="1" applyAlignment="1">
      <alignment vertical="top"/>
    </xf>
    <xf numFmtId="167" fontId="17" fillId="9" borderId="63" xfId="2" applyNumberFormat="1" applyFont="1" applyFill="1" applyBorder="1" applyAlignment="1">
      <alignment vertical="top"/>
    </xf>
    <xf numFmtId="0" fontId="15" fillId="9" borderId="44" xfId="2" applyFont="1" applyFill="1" applyBorder="1" applyAlignment="1">
      <alignment vertical="top"/>
    </xf>
    <xf numFmtId="0" fontId="11" fillId="9" borderId="63" xfId="2" applyFont="1" applyFill="1" applyBorder="1" applyAlignment="1">
      <alignment horizontal="center" vertical="top"/>
    </xf>
    <xf numFmtId="0" fontId="15" fillId="9" borderId="63" xfId="2" applyFont="1" applyFill="1" applyBorder="1" applyAlignment="1">
      <alignment vertical="top" wrapText="1"/>
    </xf>
    <xf numFmtId="164" fontId="4" fillId="8" borderId="10" xfId="4" applyFont="1" applyFill="1" applyBorder="1" applyAlignment="1">
      <alignment vertical="top"/>
    </xf>
    <xf numFmtId="164" fontId="5" fillId="8" borderId="69" xfId="4" applyFont="1" applyFill="1" applyBorder="1" applyAlignment="1">
      <alignment horizontal="center" vertical="top"/>
    </xf>
    <xf numFmtId="164" fontId="5" fillId="8" borderId="17" xfId="4" applyFont="1" applyFill="1" applyBorder="1" applyAlignment="1">
      <alignment vertical="top" wrapText="1"/>
    </xf>
    <xf numFmtId="164" fontId="5" fillId="8" borderId="2" xfId="4" applyFont="1" applyFill="1" applyBorder="1" applyAlignment="1">
      <alignment vertical="top"/>
    </xf>
    <xf numFmtId="164" fontId="2" fillId="5" borderId="63" xfId="4" applyFont="1" applyFill="1" applyBorder="1" applyAlignment="1">
      <alignment horizontal="center" vertical="top"/>
    </xf>
    <xf numFmtId="165" fontId="5" fillId="3" borderId="5" xfId="0" applyNumberFormat="1" applyFont="1" applyFill="1" applyBorder="1" applyAlignment="1">
      <alignment horizontal="center" vertical="center" wrapText="1"/>
    </xf>
    <xf numFmtId="167" fontId="17" fillId="9" borderId="44" xfId="2" applyNumberFormat="1" applyFont="1" applyFill="1" applyBorder="1" applyAlignment="1">
      <alignment vertical="top"/>
    </xf>
    <xf numFmtId="0" fontId="5" fillId="7" borderId="44" xfId="2" applyFont="1" applyFill="1" applyBorder="1" applyAlignment="1">
      <alignment vertical="center" wrapText="1"/>
    </xf>
    <xf numFmtId="0" fontId="5" fillId="7" borderId="63" xfId="2" applyFont="1" applyFill="1" applyBorder="1" applyAlignment="1">
      <alignment horizontal="center" vertical="center"/>
    </xf>
    <xf numFmtId="0" fontId="5" fillId="7" borderId="63" xfId="2" applyFont="1" applyFill="1" applyBorder="1" applyAlignment="1">
      <alignment horizontal="center" vertical="center" wrapText="1"/>
    </xf>
    <xf numFmtId="3" fontId="5" fillId="7" borderId="63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7" borderId="44" xfId="0" applyNumberFormat="1" applyFont="1" applyFill="1" applyBorder="1" applyAlignment="1">
      <alignment horizontal="center" vertical="center" wrapText="1"/>
    </xf>
    <xf numFmtId="0" fontId="5" fillId="7" borderId="63" xfId="0" applyNumberFormat="1" applyFont="1" applyFill="1" applyBorder="1" applyAlignment="1">
      <alignment horizontal="center" vertical="center" wrapText="1"/>
    </xf>
    <xf numFmtId="0" fontId="0" fillId="0" borderId="41" xfId="0" applyBorder="1"/>
    <xf numFmtId="4" fontId="9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18" fillId="0" borderId="0" xfId="0" applyNumberFormat="1" applyFont="1" applyAlignment="1">
      <alignment vertical="top"/>
    </xf>
    <xf numFmtId="4" fontId="0" fillId="0" borderId="0" xfId="0" applyNumberFormat="1" applyBorder="1"/>
    <xf numFmtId="4" fontId="0" fillId="0" borderId="0" xfId="0" applyNumberFormat="1"/>
    <xf numFmtId="4" fontId="5" fillId="4" borderId="31" xfId="4" applyNumberFormat="1" applyFont="1" applyFill="1" applyBorder="1" applyAlignment="1">
      <alignment horizontal="right" vertical="top"/>
    </xf>
    <xf numFmtId="4" fontId="5" fillId="4" borderId="32" xfId="4" applyNumberFormat="1" applyFont="1" applyFill="1" applyBorder="1" applyAlignment="1">
      <alignment horizontal="right" vertical="top"/>
    </xf>
    <xf numFmtId="4" fontId="5" fillId="4" borderId="45" xfId="4" applyNumberFormat="1" applyFont="1" applyFill="1" applyBorder="1" applyAlignment="1">
      <alignment horizontal="right" vertical="top"/>
    </xf>
    <xf numFmtId="4" fontId="5" fillId="4" borderId="20" xfId="4" applyNumberFormat="1" applyFont="1" applyFill="1" applyBorder="1" applyAlignment="1">
      <alignment horizontal="right" vertical="top"/>
    </xf>
    <xf numFmtId="4" fontId="5" fillId="4" borderId="21" xfId="4" applyNumberFormat="1" applyFont="1" applyFill="1" applyBorder="1" applyAlignment="1">
      <alignment horizontal="right" vertical="top"/>
    </xf>
    <xf numFmtId="4" fontId="5" fillId="4" borderId="22" xfId="4" applyNumberFormat="1" applyFont="1" applyFill="1" applyBorder="1" applyAlignment="1">
      <alignment horizontal="right" vertical="top"/>
    </xf>
    <xf numFmtId="4" fontId="5" fillId="4" borderId="35" xfId="4" applyNumberFormat="1" applyFont="1" applyFill="1" applyBorder="1" applyAlignment="1">
      <alignment horizontal="right" vertical="top"/>
    </xf>
    <xf numFmtId="4" fontId="5" fillId="4" borderId="34" xfId="4" applyNumberFormat="1" applyFont="1" applyFill="1" applyBorder="1" applyAlignment="1">
      <alignment horizontal="right" vertical="top"/>
    </xf>
    <xf numFmtId="4" fontId="2" fillId="0" borderId="23" xfId="4" applyNumberFormat="1" applyFont="1" applyFill="1" applyBorder="1" applyAlignment="1">
      <alignment horizontal="right" vertical="top"/>
    </xf>
    <xf numFmtId="4" fontId="2" fillId="0" borderId="18" xfId="4" applyNumberFormat="1" applyFont="1" applyFill="1" applyBorder="1" applyAlignment="1">
      <alignment horizontal="right" vertical="top"/>
    </xf>
    <xf numFmtId="4" fontId="2" fillId="0" borderId="28" xfId="4" applyNumberFormat="1" applyFont="1" applyFill="1" applyBorder="1" applyAlignment="1">
      <alignment horizontal="right" vertical="top"/>
    </xf>
    <xf numFmtId="4" fontId="2" fillId="0" borderId="24" xfId="4" applyNumberFormat="1" applyFont="1" applyFill="1" applyBorder="1" applyAlignment="1">
      <alignment horizontal="right" vertical="top"/>
    </xf>
    <xf numFmtId="4" fontId="2" fillId="0" borderId="29" xfId="4" applyNumberFormat="1" applyFont="1" applyFill="1" applyBorder="1" applyAlignment="1">
      <alignment horizontal="right" vertical="top"/>
    </xf>
    <xf numFmtId="4" fontId="2" fillId="0" borderId="38" xfId="4" applyNumberFormat="1" applyFont="1" applyFill="1" applyBorder="1" applyAlignment="1">
      <alignment horizontal="right" vertical="top"/>
    </xf>
    <xf numFmtId="4" fontId="2" fillId="0" borderId="39" xfId="4" applyNumberFormat="1" applyFont="1" applyFill="1" applyBorder="1" applyAlignment="1">
      <alignment horizontal="right" vertical="top"/>
    </xf>
    <xf numFmtId="4" fontId="2" fillId="0" borderId="42" xfId="4" applyNumberFormat="1" applyFont="1" applyFill="1" applyBorder="1" applyAlignment="1">
      <alignment horizontal="right" vertical="top"/>
    </xf>
    <xf numFmtId="4" fontId="2" fillId="0" borderId="40" xfId="4" applyNumberFormat="1" applyFont="1" applyFill="1" applyBorder="1" applyAlignment="1">
      <alignment horizontal="right" vertical="top"/>
    </xf>
    <xf numFmtId="4" fontId="2" fillId="0" borderId="57" xfId="4" applyNumberFormat="1" applyFont="1" applyFill="1" applyBorder="1" applyAlignment="1">
      <alignment horizontal="right" vertical="top"/>
    </xf>
    <xf numFmtId="4" fontId="5" fillId="8" borderId="7" xfId="4" applyNumberFormat="1" applyFont="1" applyFill="1" applyBorder="1" applyAlignment="1">
      <alignment horizontal="right" vertical="top"/>
    </xf>
    <xf numFmtId="4" fontId="5" fillId="8" borderId="2" xfId="4" applyNumberFormat="1" applyFont="1" applyFill="1" applyBorder="1" applyAlignment="1">
      <alignment horizontal="right" vertical="top"/>
    </xf>
    <xf numFmtId="4" fontId="5" fillId="8" borderId="8" xfId="4" applyNumberFormat="1" applyFont="1" applyFill="1" applyBorder="1" applyAlignment="1">
      <alignment horizontal="right" vertical="top"/>
    </xf>
    <xf numFmtId="4" fontId="5" fillId="8" borderId="9" xfId="4" applyNumberFormat="1" applyFont="1" applyFill="1" applyBorder="1" applyAlignment="1">
      <alignment horizontal="right" vertical="top"/>
    </xf>
    <xf numFmtId="4" fontId="5" fillId="8" borderId="69" xfId="4" applyNumberFormat="1" applyFont="1" applyFill="1" applyBorder="1" applyAlignment="1">
      <alignment horizontal="right" vertical="top"/>
    </xf>
    <xf numFmtId="4" fontId="5" fillId="8" borderId="10" xfId="4" applyNumberFormat="1" applyFont="1" applyFill="1" applyBorder="1" applyAlignment="1">
      <alignment horizontal="right" vertical="top"/>
    </xf>
    <xf numFmtId="4" fontId="2" fillId="5" borderId="2" xfId="2" applyNumberFormat="1" applyFont="1" applyFill="1" applyBorder="1" applyAlignment="1">
      <alignment horizontal="right" vertical="top"/>
    </xf>
    <xf numFmtId="4" fontId="2" fillId="5" borderId="3" xfId="2" applyNumberFormat="1" applyFont="1" applyFill="1" applyBorder="1" applyAlignment="1">
      <alignment horizontal="right" vertical="top"/>
    </xf>
    <xf numFmtId="4" fontId="2" fillId="5" borderId="7" xfId="2" applyNumberFormat="1" applyFont="1" applyFill="1" applyBorder="1" applyAlignment="1">
      <alignment horizontal="right" vertical="top"/>
    </xf>
    <xf numFmtId="4" fontId="2" fillId="5" borderId="8" xfId="2" applyNumberFormat="1" applyFont="1" applyFill="1" applyBorder="1" applyAlignment="1">
      <alignment horizontal="right" vertical="top"/>
    </xf>
    <xf numFmtId="4" fontId="2" fillId="5" borderId="9" xfId="2" applyNumberFormat="1" applyFont="1" applyFill="1" applyBorder="1" applyAlignment="1">
      <alignment horizontal="right" vertical="top"/>
    </xf>
    <xf numFmtId="4" fontId="2" fillId="5" borderId="3" xfId="1" applyNumberFormat="1" applyFont="1" applyFill="1" applyBorder="1" applyAlignment="1">
      <alignment horizontal="right" vertical="top"/>
    </xf>
    <xf numFmtId="4" fontId="2" fillId="5" borderId="4" xfId="1" applyNumberFormat="1" applyFont="1" applyFill="1" applyBorder="1" applyAlignment="1">
      <alignment horizontal="right" vertical="top"/>
    </xf>
    <xf numFmtId="4" fontId="2" fillId="5" borderId="2" xfId="1" applyNumberFormat="1" applyFont="1" applyFill="1" applyBorder="1" applyAlignment="1">
      <alignment horizontal="right" vertical="top"/>
    </xf>
    <xf numFmtId="4" fontId="5" fillId="4" borderId="59" xfId="4" applyNumberFormat="1" applyFont="1" applyFill="1" applyBorder="1" applyAlignment="1">
      <alignment horizontal="right" vertical="top"/>
    </xf>
    <xf numFmtId="4" fontId="5" fillId="4" borderId="61" xfId="4" applyNumberFormat="1" applyFont="1" applyFill="1" applyBorder="1" applyAlignment="1">
      <alignment horizontal="right" vertical="top"/>
    </xf>
    <xf numFmtId="4" fontId="2" fillId="0" borderId="25" xfId="4" applyNumberFormat="1" applyFont="1" applyFill="1" applyBorder="1" applyAlignment="1">
      <alignment horizontal="right" vertical="top"/>
    </xf>
    <xf numFmtId="4" fontId="2" fillId="0" borderId="26" xfId="4" applyNumberFormat="1" applyFont="1" applyFill="1" applyBorder="1" applyAlignment="1">
      <alignment horizontal="right" vertical="top"/>
    </xf>
    <xf numFmtId="4" fontId="2" fillId="0" borderId="60" xfId="4" applyNumberFormat="1" applyFont="1" applyFill="1" applyBorder="1" applyAlignment="1">
      <alignment horizontal="right" vertical="top"/>
    </xf>
    <xf numFmtId="4" fontId="2" fillId="0" borderId="27" xfId="4" applyNumberFormat="1" applyFont="1" applyFill="1" applyBorder="1" applyAlignment="1">
      <alignment horizontal="right" vertical="top"/>
    </xf>
    <xf numFmtId="4" fontId="2" fillId="0" borderId="62" xfId="4" applyNumberFormat="1" applyFont="1" applyFill="1" applyBorder="1" applyAlignment="1">
      <alignment horizontal="right" vertical="top"/>
    </xf>
    <xf numFmtId="4" fontId="5" fillId="8" borderId="12" xfId="4" applyNumberFormat="1" applyFont="1" applyFill="1" applyBorder="1" applyAlignment="1">
      <alignment horizontal="right" vertical="top"/>
    </xf>
    <xf numFmtId="4" fontId="5" fillId="8" borderId="55" xfId="4" applyNumberFormat="1" applyFont="1" applyFill="1" applyBorder="1" applyAlignment="1">
      <alignment horizontal="right" vertical="top"/>
    </xf>
    <xf numFmtId="4" fontId="5" fillId="8" borderId="63" xfId="4" applyNumberFormat="1" applyFont="1" applyFill="1" applyBorder="1" applyAlignment="1">
      <alignment horizontal="right" vertical="top"/>
    </xf>
    <xf numFmtId="4" fontId="2" fillId="5" borderId="2" xfId="4" applyNumberFormat="1" applyFont="1" applyFill="1" applyBorder="1" applyAlignment="1">
      <alignment horizontal="right" vertical="top"/>
    </xf>
    <xf numFmtId="4" fontId="2" fillId="5" borderId="3" xfId="4" applyNumberFormat="1" applyFont="1" applyFill="1" applyBorder="1" applyAlignment="1">
      <alignment horizontal="right" vertical="top"/>
    </xf>
    <xf numFmtId="4" fontId="2" fillId="5" borderId="4" xfId="4" applyNumberFormat="1" applyFont="1" applyFill="1" applyBorder="1" applyAlignment="1">
      <alignment horizontal="right" vertical="top"/>
    </xf>
    <xf numFmtId="4" fontId="6" fillId="5" borderId="3" xfId="4" applyNumberFormat="1" applyFont="1" applyFill="1" applyBorder="1" applyAlignment="1">
      <alignment horizontal="right" vertical="top"/>
    </xf>
    <xf numFmtId="4" fontId="8" fillId="0" borderId="23" xfId="4" applyNumberFormat="1" applyFont="1" applyFill="1" applyBorder="1" applyAlignment="1">
      <alignment horizontal="right" vertical="top"/>
    </xf>
    <xf numFmtId="4" fontId="8" fillId="0" borderId="18" xfId="4" applyNumberFormat="1" applyFont="1" applyFill="1" applyBorder="1" applyAlignment="1">
      <alignment horizontal="right" vertical="top"/>
    </xf>
    <xf numFmtId="4" fontId="8" fillId="0" borderId="28" xfId="4" applyNumberFormat="1" applyFont="1" applyFill="1" applyBorder="1" applyAlignment="1">
      <alignment horizontal="right" vertical="top"/>
    </xf>
    <xf numFmtId="4" fontId="8" fillId="0" borderId="24" xfId="4" applyNumberFormat="1" applyFont="1" applyFill="1" applyBorder="1" applyAlignment="1">
      <alignment horizontal="right" vertical="top"/>
    </xf>
    <xf numFmtId="4" fontId="8" fillId="0" borderId="29" xfId="4" applyNumberFormat="1" applyFont="1" applyFill="1" applyBorder="1" applyAlignment="1">
      <alignment horizontal="right" vertical="top"/>
    </xf>
    <xf numFmtId="4" fontId="8" fillId="0" borderId="25" xfId="4" applyNumberFormat="1" applyFont="1" applyFill="1" applyBorder="1" applyAlignment="1">
      <alignment horizontal="right" vertical="top"/>
    </xf>
    <xf numFmtId="4" fontId="8" fillId="0" borderId="26" xfId="4" applyNumberFormat="1" applyFont="1" applyFill="1" applyBorder="1" applyAlignment="1">
      <alignment horizontal="right" vertical="top"/>
    </xf>
    <xf numFmtId="4" fontId="8" fillId="0" borderId="38" xfId="4" applyNumberFormat="1" applyFont="1" applyFill="1" applyBorder="1" applyAlignment="1">
      <alignment horizontal="right" vertical="top"/>
    </xf>
    <xf numFmtId="4" fontId="8" fillId="0" borderId="39" xfId="4" applyNumberFormat="1" applyFont="1" applyFill="1" applyBorder="1" applyAlignment="1">
      <alignment horizontal="right" vertical="top"/>
    </xf>
    <xf numFmtId="4" fontId="8" fillId="0" borderId="40" xfId="4" applyNumberFormat="1" applyFont="1" applyFill="1" applyBorder="1" applyAlignment="1">
      <alignment horizontal="right" vertical="top"/>
    </xf>
    <xf numFmtId="4" fontId="8" fillId="0" borderId="27" xfId="4" applyNumberFormat="1" applyFont="1" applyFill="1" applyBorder="1" applyAlignment="1">
      <alignment horizontal="right" vertical="top"/>
    </xf>
    <xf numFmtId="4" fontId="5" fillId="8" borderId="14" xfId="4" applyNumberFormat="1" applyFont="1" applyFill="1" applyBorder="1" applyAlignment="1">
      <alignment horizontal="right" vertical="top"/>
    </xf>
    <xf numFmtId="4" fontId="5" fillId="8" borderId="19" xfId="4" applyNumberFormat="1" applyFont="1" applyFill="1" applyBorder="1" applyAlignment="1">
      <alignment horizontal="right" vertical="top"/>
    </xf>
    <xf numFmtId="4" fontId="5" fillId="8" borderId="13" xfId="4" applyNumberFormat="1" applyFont="1" applyFill="1" applyBorder="1" applyAlignment="1">
      <alignment horizontal="right" vertical="top"/>
    </xf>
    <xf numFmtId="4" fontId="8" fillId="0" borderId="23" xfId="4" applyNumberFormat="1" applyFont="1" applyFill="1" applyBorder="1" applyAlignment="1">
      <alignment horizontal="right" vertical="top" wrapText="1"/>
    </xf>
    <xf numFmtId="4" fontId="8" fillId="0" borderId="18" xfId="4" applyNumberFormat="1" applyFont="1" applyFill="1" applyBorder="1" applyAlignment="1">
      <alignment horizontal="right" vertical="top" wrapText="1"/>
    </xf>
    <xf numFmtId="4" fontId="8" fillId="0" borderId="28" xfId="4" applyNumberFormat="1" applyFont="1" applyFill="1" applyBorder="1" applyAlignment="1">
      <alignment horizontal="right" vertical="top" wrapText="1"/>
    </xf>
    <xf numFmtId="4" fontId="8" fillId="0" borderId="24" xfId="4" applyNumberFormat="1" applyFont="1" applyFill="1" applyBorder="1" applyAlignment="1">
      <alignment horizontal="right" vertical="top" wrapText="1"/>
    </xf>
    <xf numFmtId="4" fontId="8" fillId="0" borderId="57" xfId="4" applyNumberFormat="1" applyFont="1" applyFill="1" applyBorder="1" applyAlignment="1">
      <alignment horizontal="right" vertical="top"/>
    </xf>
    <xf numFmtId="4" fontId="8" fillId="0" borderId="42" xfId="4" applyNumberFormat="1" applyFont="1" applyFill="1" applyBorder="1" applyAlignment="1">
      <alignment horizontal="right" vertical="top"/>
    </xf>
    <xf numFmtId="4" fontId="8" fillId="5" borderId="2" xfId="4" applyNumberFormat="1" applyFont="1" applyFill="1" applyBorder="1" applyAlignment="1">
      <alignment horizontal="right" vertical="top"/>
    </xf>
    <xf numFmtId="4" fontId="8" fillId="5" borderId="3" xfId="4" applyNumberFormat="1" applyFont="1" applyFill="1" applyBorder="1" applyAlignment="1">
      <alignment horizontal="right" vertical="top"/>
    </xf>
    <xf numFmtId="4" fontId="8" fillId="5" borderId="4" xfId="4" applyNumberFormat="1" applyFont="1" applyFill="1" applyBorder="1" applyAlignment="1">
      <alignment horizontal="right" vertical="top"/>
    </xf>
    <xf numFmtId="4" fontId="7" fillId="5" borderId="3" xfId="4" applyNumberFormat="1" applyFont="1" applyFill="1" applyBorder="1" applyAlignment="1">
      <alignment horizontal="right" vertical="top"/>
    </xf>
    <xf numFmtId="4" fontId="5" fillId="5" borderId="2" xfId="4" applyNumberFormat="1" applyFont="1" applyFill="1" applyBorder="1" applyAlignment="1">
      <alignment horizontal="right" vertical="top"/>
    </xf>
    <xf numFmtId="4" fontId="5" fillId="5" borderId="3" xfId="4" applyNumberFormat="1" applyFont="1" applyFill="1" applyBorder="1" applyAlignment="1">
      <alignment horizontal="right" vertical="top"/>
    </xf>
    <xf numFmtId="4" fontId="5" fillId="5" borderId="4" xfId="4" applyNumberFormat="1" applyFont="1" applyFill="1" applyBorder="1" applyAlignment="1">
      <alignment horizontal="right" vertical="top"/>
    </xf>
    <xf numFmtId="4" fontId="2" fillId="5" borderId="44" xfId="4" applyNumberFormat="1" applyFont="1" applyFill="1" applyBorder="1" applyAlignment="1">
      <alignment horizontal="right" vertical="top"/>
    </xf>
    <xf numFmtId="4" fontId="2" fillId="5" borderId="63" xfId="4" applyNumberFormat="1" applyFont="1" applyFill="1" applyBorder="1" applyAlignment="1">
      <alignment horizontal="right" vertical="top"/>
    </xf>
    <xf numFmtId="4" fontId="2" fillId="5" borderId="1" xfId="4" applyNumberFormat="1" applyFont="1" applyFill="1" applyBorder="1" applyAlignment="1">
      <alignment horizontal="right" vertical="top"/>
    </xf>
    <xf numFmtId="4" fontId="3" fillId="5" borderId="63" xfId="4" applyNumberFormat="1" applyFont="1" applyFill="1" applyBorder="1" applyAlignment="1">
      <alignment horizontal="right" vertical="top"/>
    </xf>
    <xf numFmtId="4" fontId="2" fillId="0" borderId="20" xfId="4" applyNumberFormat="1" applyFont="1" applyFill="1" applyBorder="1" applyAlignment="1">
      <alignment horizontal="right" vertical="top"/>
    </xf>
    <xf numFmtId="4" fontId="2" fillId="0" borderId="21" xfId="4" applyNumberFormat="1" applyFont="1" applyFill="1" applyBorder="1" applyAlignment="1">
      <alignment horizontal="right" vertical="top"/>
    </xf>
    <xf numFmtId="4" fontId="2" fillId="0" borderId="59" xfId="4" applyNumberFormat="1" applyFont="1" applyFill="1" applyBorder="1" applyAlignment="1">
      <alignment horizontal="right" vertical="top"/>
    </xf>
    <xf numFmtId="4" fontId="2" fillId="0" borderId="22" xfId="4" applyNumberFormat="1" applyFont="1" applyFill="1" applyBorder="1" applyAlignment="1">
      <alignment horizontal="right" vertical="top"/>
    </xf>
    <xf numFmtId="4" fontId="2" fillId="0" borderId="61" xfId="4" applyNumberFormat="1" applyFont="1" applyFill="1" applyBorder="1" applyAlignment="1">
      <alignment horizontal="right" vertical="top"/>
    </xf>
    <xf numFmtId="4" fontId="7" fillId="0" borderId="29" xfId="4" applyNumberFormat="1" applyFont="1" applyFill="1" applyBorder="1" applyAlignment="1">
      <alignment horizontal="right" vertical="top"/>
    </xf>
    <xf numFmtId="4" fontId="3" fillId="5" borderId="3" xfId="4" applyNumberFormat="1" applyFont="1" applyFill="1" applyBorder="1" applyAlignment="1">
      <alignment horizontal="right" vertical="top"/>
    </xf>
    <xf numFmtId="4" fontId="2" fillId="0" borderId="31" xfId="4" applyNumberFormat="1" applyFont="1" applyFill="1" applyBorder="1" applyAlignment="1">
      <alignment horizontal="right" vertical="top"/>
    </xf>
    <xf numFmtId="4" fontId="2" fillId="0" borderId="32" xfId="4" applyNumberFormat="1" applyFont="1" applyFill="1" applyBorder="1" applyAlignment="1">
      <alignment horizontal="right" vertical="top"/>
    </xf>
    <xf numFmtId="4" fontId="2" fillId="0" borderId="45" xfId="4" applyNumberFormat="1" applyFont="1" applyFill="1" applyBorder="1" applyAlignment="1">
      <alignment horizontal="right" vertical="top"/>
    </xf>
    <xf numFmtId="4" fontId="2" fillId="0" borderId="35" xfId="4" applyNumberFormat="1" applyFont="1" applyFill="1" applyBorder="1" applyAlignment="1">
      <alignment horizontal="right" vertical="top"/>
    </xf>
    <xf numFmtId="4" fontId="2" fillId="0" borderId="34" xfId="4" applyNumberFormat="1" applyFont="1" applyFill="1" applyBorder="1" applyAlignment="1">
      <alignment horizontal="right" vertical="top"/>
    </xf>
    <xf numFmtId="4" fontId="7" fillId="0" borderId="54" xfId="4" applyNumberFormat="1" applyFont="1" applyFill="1" applyBorder="1" applyAlignment="1">
      <alignment horizontal="right" vertical="top"/>
    </xf>
    <xf numFmtId="4" fontId="5" fillId="6" borderId="9" xfId="4" applyNumberFormat="1" applyFont="1" applyFill="1" applyBorder="1" applyAlignment="1">
      <alignment horizontal="right" vertical="top"/>
    </xf>
    <xf numFmtId="4" fontId="5" fillId="5" borderId="44" xfId="4" applyNumberFormat="1" applyFont="1" applyFill="1" applyBorder="1" applyAlignment="1">
      <alignment horizontal="right" vertical="top"/>
    </xf>
    <xf numFmtId="4" fontId="5" fillId="5" borderId="63" xfId="4" applyNumberFormat="1" applyFont="1" applyFill="1" applyBorder="1" applyAlignment="1">
      <alignment horizontal="right" vertical="top"/>
    </xf>
    <xf numFmtId="4" fontId="5" fillId="5" borderId="1" xfId="4" applyNumberFormat="1" applyFont="1" applyFill="1" applyBorder="1" applyAlignment="1">
      <alignment horizontal="right" vertical="top"/>
    </xf>
    <xf numFmtId="4" fontId="8" fillId="0" borderId="20" xfId="4" applyNumberFormat="1" applyFont="1" applyFill="1" applyBorder="1" applyAlignment="1">
      <alignment horizontal="right" vertical="top"/>
    </xf>
    <xf numFmtId="4" fontId="8" fillId="0" borderId="21" xfId="4" applyNumberFormat="1" applyFont="1" applyFill="1" applyBorder="1" applyAlignment="1">
      <alignment horizontal="right" vertical="top"/>
    </xf>
    <xf numFmtId="4" fontId="8" fillId="0" borderId="59" xfId="4" applyNumberFormat="1" applyFont="1" applyFill="1" applyBorder="1" applyAlignment="1">
      <alignment horizontal="right" vertical="top"/>
    </xf>
    <xf numFmtId="4" fontId="8" fillId="0" borderId="22" xfId="4" applyNumberFormat="1" applyFont="1" applyFill="1" applyBorder="1" applyAlignment="1">
      <alignment horizontal="right" vertical="top"/>
    </xf>
    <xf numFmtId="4" fontId="8" fillId="0" borderId="61" xfId="4" applyNumberFormat="1" applyFont="1" applyFill="1" applyBorder="1" applyAlignment="1">
      <alignment horizontal="right" vertical="top"/>
    </xf>
    <xf numFmtId="4" fontId="7" fillId="0" borderId="70" xfId="4" applyNumberFormat="1" applyFont="1" applyFill="1" applyBorder="1" applyAlignment="1">
      <alignment horizontal="right" vertical="top"/>
    </xf>
    <xf numFmtId="4" fontId="7" fillId="0" borderId="30" xfId="4" applyNumberFormat="1" applyFont="1" applyFill="1" applyBorder="1" applyAlignment="1">
      <alignment horizontal="right" vertical="top"/>
    </xf>
    <xf numFmtId="4" fontId="7" fillId="0" borderId="57" xfId="4" applyNumberFormat="1" applyFont="1" applyFill="1" applyBorder="1" applyAlignment="1">
      <alignment horizontal="right" vertical="top"/>
    </xf>
    <xf numFmtId="4" fontId="5" fillId="6" borderId="10" xfId="4" applyNumberFormat="1" applyFont="1" applyFill="1" applyBorder="1" applyAlignment="1">
      <alignment horizontal="right" vertical="top"/>
    </xf>
    <xf numFmtId="4" fontId="5" fillId="6" borderId="16" xfId="4" applyNumberFormat="1" applyFont="1" applyFill="1" applyBorder="1" applyAlignment="1">
      <alignment horizontal="right" vertical="top"/>
    </xf>
    <xf numFmtId="4" fontId="11" fillId="9" borderId="65" xfId="4" applyNumberFormat="1" applyFont="1" applyFill="1" applyBorder="1" applyAlignment="1">
      <alignment horizontal="right" vertical="top"/>
    </xf>
    <xf numFmtId="4" fontId="11" fillId="9" borderId="16" xfId="4" applyNumberFormat="1" applyFont="1" applyFill="1" applyBorder="1" applyAlignment="1">
      <alignment horizontal="right" vertical="top"/>
    </xf>
    <xf numFmtId="4" fontId="11" fillId="9" borderId="43" xfId="4" applyNumberFormat="1" applyFont="1" applyFill="1" applyBorder="1" applyAlignment="1">
      <alignment horizontal="right" vertical="top"/>
    </xf>
    <xf numFmtId="4" fontId="8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" fontId="5" fillId="2" borderId="7" xfId="4" applyNumberFormat="1" applyFont="1" applyFill="1" applyBorder="1" applyAlignment="1">
      <alignment horizontal="right"/>
    </xf>
    <xf numFmtId="4" fontId="5" fillId="2" borderId="2" xfId="4" applyNumberFormat="1" applyFont="1" applyFill="1" applyBorder="1" applyAlignment="1">
      <alignment horizontal="right"/>
    </xf>
    <xf numFmtId="164" fontId="3" fillId="5" borderId="51" xfId="4" applyFont="1" applyFill="1" applyBorder="1" applyAlignment="1">
      <alignment vertical="top"/>
    </xf>
    <xf numFmtId="0" fontId="5" fillId="5" borderId="46" xfId="2" applyFont="1" applyFill="1" applyBorder="1" applyAlignment="1">
      <alignment horizontal="center" vertical="top"/>
    </xf>
    <xf numFmtId="4" fontId="2" fillId="5" borderId="46" xfId="4" applyNumberFormat="1" applyFont="1" applyFill="1" applyBorder="1" applyAlignment="1">
      <alignment horizontal="right" vertical="top"/>
    </xf>
    <xf numFmtId="4" fontId="2" fillId="5" borderId="0" xfId="4" applyNumberFormat="1" applyFont="1" applyFill="1" applyBorder="1" applyAlignment="1">
      <alignment horizontal="right" vertical="top"/>
    </xf>
    <xf numFmtId="4" fontId="2" fillId="5" borderId="5" xfId="4" applyNumberFormat="1" applyFont="1" applyFill="1" applyBorder="1" applyAlignment="1">
      <alignment horizontal="right" vertical="top"/>
    </xf>
    <xf numFmtId="4" fontId="5" fillId="6" borderId="4" xfId="4" applyNumberFormat="1" applyFont="1" applyFill="1" applyBorder="1" applyAlignment="1">
      <alignment horizontal="right" vertical="top"/>
    </xf>
    <xf numFmtId="4" fontId="7" fillId="0" borderId="20" xfId="4" applyNumberFormat="1" applyFont="1" applyFill="1" applyBorder="1" applyAlignment="1">
      <alignment horizontal="right" vertical="top"/>
    </xf>
    <xf numFmtId="4" fontId="7" fillId="4" borderId="12" xfId="4" applyNumberFormat="1" applyFont="1" applyFill="1" applyBorder="1" applyAlignment="1">
      <alignment horizontal="right" vertical="top"/>
    </xf>
    <xf numFmtId="4" fontId="7" fillId="4" borderId="55" xfId="4" applyNumberFormat="1" applyFont="1" applyFill="1" applyBorder="1" applyAlignment="1">
      <alignment horizontal="right" vertical="top"/>
    </xf>
    <xf numFmtId="4" fontId="7" fillId="4" borderId="1" xfId="4" applyNumberFormat="1" applyFont="1" applyFill="1" applyBorder="1" applyAlignment="1">
      <alignment horizontal="right" vertical="top"/>
    </xf>
    <xf numFmtId="4" fontId="7" fillId="0" borderId="23" xfId="4" applyNumberFormat="1" applyFont="1" applyFill="1" applyBorder="1" applyAlignment="1">
      <alignment horizontal="right" vertical="top"/>
    </xf>
    <xf numFmtId="4" fontId="7" fillId="0" borderId="24" xfId="4" applyNumberFormat="1" applyFont="1" applyFill="1" applyBorder="1" applyAlignment="1">
      <alignment horizontal="right" vertical="top"/>
    </xf>
    <xf numFmtId="4" fontId="7" fillId="0" borderId="38" xfId="4" applyNumberFormat="1" applyFont="1" applyFill="1" applyBorder="1" applyAlignment="1">
      <alignment horizontal="right" vertical="top"/>
    </xf>
    <xf numFmtId="4" fontId="7" fillId="0" borderId="40" xfId="4" applyNumberFormat="1" applyFont="1" applyFill="1" applyBorder="1" applyAlignment="1">
      <alignment horizontal="right" vertical="top"/>
    </xf>
    <xf numFmtId="10" fontId="7" fillId="0" borderId="0" xfId="4" applyNumberFormat="1" applyFont="1" applyFill="1" applyBorder="1" applyAlignment="1">
      <alignment horizontal="right"/>
    </xf>
    <xf numFmtId="10" fontId="5" fillId="2" borderId="2" xfId="4" applyNumberFormat="1" applyFont="1" applyFill="1" applyBorder="1" applyAlignment="1">
      <alignment horizontal="right"/>
    </xf>
    <xf numFmtId="4" fontId="6" fillId="5" borderId="2" xfId="2" applyNumberFormat="1" applyFont="1" applyFill="1" applyBorder="1" applyAlignment="1">
      <alignment horizontal="right" vertical="top"/>
    </xf>
    <xf numFmtId="4" fontId="6" fillId="5" borderId="3" xfId="2" applyNumberFormat="1" applyFont="1" applyFill="1" applyBorder="1" applyAlignment="1">
      <alignment horizontal="right" vertical="top"/>
    </xf>
    <xf numFmtId="4" fontId="6" fillId="5" borderId="2" xfId="4" applyNumberFormat="1" applyFont="1" applyFill="1" applyBorder="1" applyAlignment="1">
      <alignment horizontal="right" vertical="top"/>
    </xf>
    <xf numFmtId="4" fontId="5" fillId="8" borderId="3" xfId="4" applyNumberFormat="1" applyFont="1" applyFill="1" applyBorder="1" applyAlignment="1">
      <alignment horizontal="right" vertical="top"/>
    </xf>
    <xf numFmtId="4" fontId="7" fillId="0" borderId="73" xfId="4" applyNumberFormat="1" applyFont="1" applyFill="1" applyBorder="1" applyAlignment="1">
      <alignment horizontal="right" vertical="top"/>
    </xf>
    <xf numFmtId="4" fontId="7" fillId="5" borderId="2" xfId="4" applyNumberFormat="1" applyFont="1" applyFill="1" applyBorder="1" applyAlignment="1">
      <alignment horizontal="right" vertical="top"/>
    </xf>
    <xf numFmtId="4" fontId="3" fillId="5" borderId="0" xfId="4" applyNumberFormat="1" applyFont="1" applyFill="1" applyBorder="1" applyAlignment="1">
      <alignment horizontal="right" vertical="top"/>
    </xf>
    <xf numFmtId="4" fontId="3" fillId="5" borderId="2" xfId="4" applyNumberFormat="1" applyFont="1" applyFill="1" applyBorder="1" applyAlignment="1">
      <alignment horizontal="right" vertical="top"/>
    </xf>
    <xf numFmtId="4" fontId="7" fillId="0" borderId="22" xfId="4" applyNumberFormat="1" applyFont="1" applyFill="1" applyBorder="1" applyAlignment="1">
      <alignment horizontal="right" vertical="top"/>
    </xf>
    <xf numFmtId="4" fontId="7" fillId="0" borderId="72" xfId="4" applyNumberFormat="1" applyFont="1" applyFill="1" applyBorder="1" applyAlignment="1">
      <alignment horizontal="right" vertical="top"/>
    </xf>
    <xf numFmtId="4" fontId="3" fillId="5" borderId="44" xfId="4" applyNumberFormat="1" applyFont="1" applyFill="1" applyBorder="1" applyAlignment="1">
      <alignment horizontal="right" vertical="top"/>
    </xf>
    <xf numFmtId="4" fontId="7" fillId="0" borderId="59" xfId="4" applyNumberFormat="1" applyFont="1" applyFill="1" applyBorder="1" applyAlignment="1">
      <alignment horizontal="right" vertical="top"/>
    </xf>
    <xf numFmtId="4" fontId="7" fillId="0" borderId="28" xfId="4" applyNumberFormat="1" applyFont="1" applyFill="1" applyBorder="1" applyAlignment="1">
      <alignment horizontal="right" vertical="top"/>
    </xf>
    <xf numFmtId="4" fontId="7" fillId="4" borderId="63" xfId="4" applyNumberFormat="1" applyFont="1" applyFill="1" applyBorder="1" applyAlignment="1">
      <alignment horizontal="right" vertical="top"/>
    </xf>
    <xf numFmtId="4" fontId="7" fillId="0" borderId="42" xfId="4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4" fontId="14" fillId="0" borderId="0" xfId="0" applyNumberFormat="1" applyFont="1"/>
    <xf numFmtId="4" fontId="2" fillId="0" borderId="0" xfId="0" applyNumberFormat="1" applyFont="1"/>
    <xf numFmtId="4" fontId="20" fillId="0" borderId="0" xfId="0" applyNumberFormat="1" applyFont="1" applyBorder="1"/>
    <xf numFmtId="10" fontId="0" fillId="0" borderId="0" xfId="0" applyNumberFormat="1"/>
    <xf numFmtId="10" fontId="3" fillId="0" borderId="0" xfId="0" applyNumberFormat="1" applyFont="1"/>
    <xf numFmtId="10" fontId="14" fillId="0" borderId="0" xfId="0" applyNumberFormat="1" applyFont="1"/>
    <xf numFmtId="10" fontId="2" fillId="0" borderId="0" xfId="0" applyNumberFormat="1" applyFont="1"/>
    <xf numFmtId="10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8" xfId="0" applyNumberFormat="1" applyBorder="1" applyAlignment="1">
      <alignment horizontal="center" wrapText="1"/>
    </xf>
    <xf numFmtId="10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wrapText="1"/>
    </xf>
    <xf numFmtId="10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10" fontId="0" fillId="0" borderId="65" xfId="0" applyNumberForma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10" fontId="0" fillId="0" borderId="67" xfId="0" applyNumberFormat="1" applyBorder="1" applyAlignment="1">
      <alignment horizontal="center" vertical="center"/>
    </xf>
    <xf numFmtId="10" fontId="9" fillId="0" borderId="65" xfId="0" applyNumberFormat="1" applyFont="1" applyBorder="1" applyAlignment="1">
      <alignment horizontal="center" vertical="center"/>
    </xf>
    <xf numFmtId="4" fontId="9" fillId="0" borderId="71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41" xfId="0" applyFont="1" applyBorder="1"/>
    <xf numFmtId="0" fontId="18" fillId="0" borderId="0" xfId="0" applyFont="1" applyBorder="1"/>
    <xf numFmtId="10" fontId="18" fillId="0" borderId="0" xfId="0" applyNumberFormat="1" applyFont="1"/>
    <xf numFmtId="10" fontId="0" fillId="0" borderId="5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23" fillId="0" borderId="0" xfId="0" applyFont="1" applyAlignment="1">
      <alignment horizontal="right"/>
    </xf>
    <xf numFmtId="3" fontId="5" fillId="3" borderId="44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24" fillId="0" borderId="0" xfId="0" applyNumberFormat="1" applyFont="1"/>
    <xf numFmtId="10" fontId="24" fillId="0" borderId="0" xfId="0" applyNumberFormat="1" applyFont="1"/>
    <xf numFmtId="0" fontId="3" fillId="0" borderId="0" xfId="2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/>
    </xf>
    <xf numFmtId="0" fontId="2" fillId="0" borderId="0" xfId="2" applyNumberFormat="1" applyFont="1" applyFill="1" applyBorder="1" applyAlignment="1"/>
    <xf numFmtId="0" fontId="3" fillId="0" borderId="0" xfId="2" applyNumberFormat="1" applyFont="1" applyFill="1" applyBorder="1" applyAlignment="1"/>
    <xf numFmtId="0" fontId="0" fillId="0" borderId="0" xfId="0" applyNumberFormat="1" applyAlignment="1"/>
    <xf numFmtId="0" fontId="5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/>
    <xf numFmtId="0" fontId="12" fillId="0" borderId="0" xfId="2" applyNumberFormat="1" applyFont="1" applyFill="1" applyBorder="1" applyAlignment="1"/>
    <xf numFmtId="0" fontId="4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wrapText="1"/>
    </xf>
    <xf numFmtId="0" fontId="4" fillId="0" borderId="0" xfId="2" applyNumberFormat="1" applyFont="1" applyFill="1" applyBorder="1" applyAlignment="1">
      <alignment vertical="center" wrapText="1"/>
    </xf>
    <xf numFmtId="0" fontId="5" fillId="6" borderId="16" xfId="4" applyNumberFormat="1" applyFont="1" applyFill="1" applyBorder="1" applyAlignment="1">
      <alignment horizontal="right" vertical="top" wrapText="1"/>
    </xf>
    <xf numFmtId="0" fontId="11" fillId="9" borderId="16" xfId="4" applyNumberFormat="1" applyFont="1" applyFill="1" applyBorder="1" applyAlignment="1">
      <alignment horizontal="right" vertical="top" wrapText="1"/>
    </xf>
    <xf numFmtId="0" fontId="7" fillId="0" borderId="0" xfId="4" applyNumberFormat="1" applyFont="1" applyFill="1" applyBorder="1" applyAlignment="1">
      <alignment horizontal="right" wrapText="1"/>
    </xf>
    <xf numFmtId="0" fontId="7" fillId="0" borderId="0" xfId="1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165" fontId="5" fillId="3" borderId="0" xfId="0" applyNumberFormat="1" applyFont="1" applyFill="1" applyBorder="1" applyAlignment="1">
      <alignment horizontal="center" vertical="center" wrapText="1"/>
    </xf>
    <xf numFmtId="10" fontId="6" fillId="5" borderId="3" xfId="2" applyNumberFormat="1" applyFont="1" applyFill="1" applyBorder="1" applyAlignment="1">
      <alignment horizontal="right" vertical="top"/>
    </xf>
    <xf numFmtId="10" fontId="7" fillId="4" borderId="45" xfId="4" applyNumberFormat="1" applyFont="1" applyFill="1" applyBorder="1" applyAlignment="1">
      <alignment horizontal="right" vertical="top"/>
    </xf>
    <xf numFmtId="10" fontId="13" fillId="0" borderId="28" xfId="4" applyNumberFormat="1" applyFont="1" applyFill="1" applyBorder="1" applyAlignment="1">
      <alignment horizontal="right" vertical="top"/>
    </xf>
    <xf numFmtId="10" fontId="7" fillId="4" borderId="28" xfId="4" applyNumberFormat="1" applyFont="1" applyFill="1" applyBorder="1" applyAlignment="1">
      <alignment horizontal="right" vertical="top"/>
    </xf>
    <xf numFmtId="10" fontId="13" fillId="0" borderId="42" xfId="4" applyNumberFormat="1" applyFont="1" applyFill="1" applyBorder="1" applyAlignment="1">
      <alignment horizontal="right" vertical="top"/>
    </xf>
    <xf numFmtId="10" fontId="5" fillId="8" borderId="17" xfId="4" applyNumberFormat="1" applyFont="1" applyFill="1" applyBorder="1" applyAlignment="1">
      <alignment horizontal="right" vertical="top"/>
    </xf>
    <xf numFmtId="10" fontId="6" fillId="5" borderId="3" xfId="4" applyNumberFormat="1" applyFont="1" applyFill="1" applyBorder="1" applyAlignment="1">
      <alignment horizontal="right" vertical="top"/>
    </xf>
    <xf numFmtId="10" fontId="7" fillId="5" borderId="3" xfId="4" applyNumberFormat="1" applyFont="1" applyFill="1" applyBorder="1" applyAlignment="1">
      <alignment horizontal="right" vertical="top"/>
    </xf>
    <xf numFmtId="10" fontId="5" fillId="8" borderId="42" xfId="4" applyNumberFormat="1" applyFont="1" applyFill="1" applyBorder="1" applyAlignment="1">
      <alignment horizontal="right" vertical="top"/>
    </xf>
    <xf numFmtId="10" fontId="3" fillId="5" borderId="3" xfId="4" applyNumberFormat="1" applyFont="1" applyFill="1" applyBorder="1" applyAlignment="1">
      <alignment horizontal="right" vertical="top"/>
    </xf>
    <xf numFmtId="10" fontId="7" fillId="0" borderId="59" xfId="4" applyNumberFormat="1" applyFont="1" applyFill="1" applyBorder="1" applyAlignment="1">
      <alignment horizontal="right" vertical="top"/>
    </xf>
    <xf numFmtId="10" fontId="7" fillId="0" borderId="28" xfId="4" applyNumberFormat="1" applyFont="1" applyFill="1" applyBorder="1" applyAlignment="1">
      <alignment horizontal="right" vertical="top"/>
    </xf>
    <xf numFmtId="10" fontId="5" fillId="8" borderId="60" xfId="4" applyNumberFormat="1" applyFont="1" applyFill="1" applyBorder="1" applyAlignment="1">
      <alignment horizontal="right" vertical="top"/>
    </xf>
    <xf numFmtId="10" fontId="7" fillId="0" borderId="76" xfId="4" applyNumberFormat="1" applyFont="1" applyFill="1" applyBorder="1" applyAlignment="1">
      <alignment horizontal="right" vertical="top"/>
    </xf>
    <xf numFmtId="10" fontId="3" fillId="5" borderId="63" xfId="4" applyNumberFormat="1" applyFont="1" applyFill="1" applyBorder="1" applyAlignment="1">
      <alignment horizontal="right" vertical="top"/>
    </xf>
    <xf numFmtId="10" fontId="7" fillId="0" borderId="42" xfId="4" applyNumberFormat="1" applyFont="1" applyFill="1" applyBorder="1" applyAlignment="1">
      <alignment horizontal="right" vertical="top"/>
    </xf>
    <xf numFmtId="10" fontId="5" fillId="6" borderId="43" xfId="4" applyNumberFormat="1" applyFont="1" applyFill="1" applyBorder="1" applyAlignment="1">
      <alignment horizontal="right" vertical="top"/>
    </xf>
    <xf numFmtId="10" fontId="11" fillId="9" borderId="43" xfId="4" applyNumberFormat="1" applyFont="1" applyFill="1" applyBorder="1" applyAlignment="1">
      <alignment horizontal="right" vertical="top"/>
    </xf>
    <xf numFmtId="0" fontId="17" fillId="9" borderId="15" xfId="2" applyNumberFormat="1" applyFont="1" applyFill="1" applyBorder="1" applyAlignment="1">
      <alignment vertical="top" wrapText="1"/>
    </xf>
    <xf numFmtId="0" fontId="6" fillId="5" borderId="10" xfId="2" applyNumberFormat="1" applyFont="1" applyFill="1" applyBorder="1" applyAlignment="1">
      <alignment horizontal="right" vertical="top" wrapText="1"/>
    </xf>
    <xf numFmtId="0" fontId="7" fillId="4" borderId="33" xfId="4" applyNumberFormat="1" applyFont="1" applyFill="1" applyBorder="1" applyAlignment="1">
      <alignment horizontal="right" vertical="top" wrapText="1"/>
    </xf>
    <xf numFmtId="0" fontId="13" fillId="0" borderId="30" xfId="4" applyNumberFormat="1" applyFont="1" applyFill="1" applyBorder="1" applyAlignment="1">
      <alignment horizontal="right" vertical="top" wrapText="1"/>
    </xf>
    <xf numFmtId="0" fontId="7" fillId="4" borderId="30" xfId="4" applyNumberFormat="1" applyFont="1" applyFill="1" applyBorder="1" applyAlignment="1">
      <alignment horizontal="right" vertical="top" wrapText="1"/>
    </xf>
    <xf numFmtId="0" fontId="5" fillId="8" borderId="10" xfId="4" applyNumberFormat="1" applyFont="1" applyFill="1" applyBorder="1" applyAlignment="1">
      <alignment horizontal="right" vertical="top" wrapText="1"/>
    </xf>
    <xf numFmtId="0" fontId="6" fillId="5" borderId="10" xfId="4" applyNumberFormat="1" applyFont="1" applyFill="1" applyBorder="1" applyAlignment="1">
      <alignment horizontal="right" vertical="top" wrapText="1"/>
    </xf>
    <xf numFmtId="0" fontId="5" fillId="8" borderId="36" xfId="4" applyNumberFormat="1" applyFont="1" applyFill="1" applyBorder="1" applyAlignment="1">
      <alignment horizontal="right" vertical="top" wrapText="1"/>
    </xf>
    <xf numFmtId="0" fontId="5" fillId="8" borderId="15" xfId="4" applyNumberFormat="1" applyFont="1" applyFill="1" applyBorder="1" applyAlignment="1">
      <alignment horizontal="right" vertical="top" wrapText="1"/>
    </xf>
    <xf numFmtId="0" fontId="7" fillId="5" borderId="10" xfId="4" applyNumberFormat="1" applyFont="1" applyFill="1" applyBorder="1" applyAlignment="1">
      <alignment horizontal="right" vertical="top" wrapText="1"/>
    </xf>
    <xf numFmtId="0" fontId="3" fillId="5" borderId="10" xfId="4" applyNumberFormat="1" applyFont="1" applyFill="1" applyBorder="1" applyAlignment="1">
      <alignment horizontal="right" vertical="top" wrapText="1"/>
    </xf>
    <xf numFmtId="0" fontId="7" fillId="0" borderId="70" xfId="4" applyNumberFormat="1" applyFont="1" applyFill="1" applyBorder="1" applyAlignment="1">
      <alignment horizontal="right" vertical="top" wrapText="1"/>
    </xf>
    <xf numFmtId="0" fontId="7" fillId="0" borderId="30" xfId="4" applyNumberFormat="1" applyFont="1" applyFill="1" applyBorder="1" applyAlignment="1">
      <alignment horizontal="right" vertical="top" wrapText="1"/>
    </xf>
    <xf numFmtId="0" fontId="5" fillId="8" borderId="11" xfId="4" applyNumberFormat="1" applyFont="1" applyFill="1" applyBorder="1" applyAlignment="1">
      <alignment horizontal="right" vertical="top" wrapText="1"/>
    </xf>
    <xf numFmtId="0" fontId="3" fillId="5" borderId="15" xfId="4" applyNumberFormat="1" applyFont="1" applyFill="1" applyBorder="1" applyAlignment="1">
      <alignment horizontal="right" vertical="top" wrapText="1"/>
    </xf>
    <xf numFmtId="0" fontId="7" fillId="4" borderId="70" xfId="4" applyNumberFormat="1" applyFont="1" applyFill="1" applyBorder="1" applyAlignment="1">
      <alignment horizontal="right" vertical="top" wrapText="1"/>
    </xf>
    <xf numFmtId="0" fontId="7" fillId="0" borderId="36" xfId="4" applyNumberFormat="1" applyFont="1" applyFill="1" applyBorder="1" applyAlignment="1">
      <alignment horizontal="right" vertical="top" wrapText="1"/>
    </xf>
    <xf numFmtId="0" fontId="5" fillId="2" borderId="10" xfId="4" applyNumberFormat="1" applyFont="1" applyFill="1" applyBorder="1" applyAlignment="1">
      <alignment horizontal="right" wrapText="1"/>
    </xf>
    <xf numFmtId="0" fontId="14" fillId="0" borderId="0" xfId="0" applyNumberFormat="1" applyFont="1" applyAlignment="1"/>
    <xf numFmtId="0" fontId="3" fillId="0" borderId="0" xfId="0" applyNumberFormat="1" applyFont="1" applyAlignment="1"/>
    <xf numFmtId="0" fontId="2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5" fillId="0" borderId="0" xfId="0" applyNumberFormat="1" applyFont="1" applyAlignment="1"/>
    <xf numFmtId="0" fontId="2" fillId="0" borderId="0" xfId="0" applyNumberFormat="1" applyFont="1" applyAlignment="1"/>
    <xf numFmtId="0" fontId="14" fillId="0" borderId="0" xfId="0" applyNumberFormat="1" applyFont="1" applyBorder="1" applyAlignment="1"/>
    <xf numFmtId="0" fontId="20" fillId="0" borderId="0" xfId="0" applyNumberFormat="1" applyFont="1" applyBorder="1" applyAlignment="1"/>
    <xf numFmtId="0" fontId="0" fillId="0" borderId="0" xfId="0" applyAlignment="1">
      <alignment horizontal="right"/>
    </xf>
    <xf numFmtId="171" fontId="25" fillId="0" borderId="28" xfId="0" applyNumberFormat="1" applyFont="1" applyBorder="1" applyAlignment="1">
      <alignment horizontal="left" vertical="center" wrapText="1"/>
    </xf>
    <xf numFmtId="171" fontId="25" fillId="10" borderId="23" xfId="0" applyNumberFormat="1" applyFont="1" applyFill="1" applyBorder="1" applyAlignment="1">
      <alignment horizontal="left" vertical="center"/>
    </xf>
    <xf numFmtId="171" fontId="25" fillId="0" borderId="26" xfId="0" applyNumberFormat="1" applyFont="1" applyBorder="1" applyAlignment="1">
      <alignment horizontal="left" vertical="center" wrapText="1"/>
    </xf>
    <xf numFmtId="171" fontId="26" fillId="10" borderId="18" xfId="0" applyNumberFormat="1" applyFont="1" applyFill="1" applyBorder="1" applyAlignment="1">
      <alignment horizontal="left" vertical="center"/>
    </xf>
    <xf numFmtId="171" fontId="26" fillId="10" borderId="23" xfId="0" applyNumberFormat="1" applyFont="1" applyFill="1" applyBorder="1" applyAlignment="1">
      <alignment horizontal="left" vertical="center"/>
    </xf>
    <xf numFmtId="171" fontId="25" fillId="10" borderId="18" xfId="0" applyNumberFormat="1" applyFont="1" applyFill="1" applyBorder="1" applyAlignment="1">
      <alignment horizontal="left" vertical="center"/>
    </xf>
    <xf numFmtId="4" fontId="5" fillId="10" borderId="45" xfId="4" applyNumberFormat="1" applyFont="1" applyFill="1" applyBorder="1" applyAlignment="1">
      <alignment horizontal="right" vertical="top"/>
    </xf>
    <xf numFmtId="4" fontId="5" fillId="10" borderId="31" xfId="4" applyNumberFormat="1" applyFont="1" applyFill="1" applyBorder="1" applyAlignment="1">
      <alignment horizontal="right" vertical="top"/>
    </xf>
    <xf numFmtId="4" fontId="5" fillId="10" borderId="32" xfId="4" applyNumberFormat="1" applyFont="1" applyFill="1" applyBorder="1" applyAlignment="1">
      <alignment horizontal="right" vertical="top"/>
    </xf>
    <xf numFmtId="4" fontId="5" fillId="10" borderId="34" xfId="4" applyNumberFormat="1" applyFont="1" applyFill="1" applyBorder="1" applyAlignment="1">
      <alignment horizontal="right" vertical="top"/>
    </xf>
    <xf numFmtId="10" fontId="7" fillId="10" borderId="28" xfId="4" applyNumberFormat="1" applyFont="1" applyFill="1" applyBorder="1" applyAlignment="1">
      <alignment horizontal="right" vertical="top"/>
    </xf>
    <xf numFmtId="0" fontId="7" fillId="10" borderId="30" xfId="4" applyNumberFormat="1" applyFont="1" applyFill="1" applyBorder="1" applyAlignment="1">
      <alignment horizontal="right" vertical="top" wrapText="1"/>
    </xf>
    <xf numFmtId="4" fontId="9" fillId="10" borderId="0" xfId="0" applyNumberFormat="1" applyFont="1" applyFill="1" applyAlignment="1">
      <alignment vertical="top"/>
    </xf>
    <xf numFmtId="0" fontId="9" fillId="10" borderId="0" xfId="0" applyFont="1" applyFill="1" applyAlignment="1">
      <alignment vertical="top"/>
    </xf>
    <xf numFmtId="164" fontId="5" fillId="10" borderId="23" xfId="4" applyFont="1" applyFill="1" applyBorder="1" applyAlignment="1">
      <alignment vertical="top"/>
    </xf>
    <xf numFmtId="49" fontId="27" fillId="0" borderId="18" xfId="0" applyNumberFormat="1" applyFont="1" applyBorder="1" applyAlignment="1">
      <alignment horizontal="left" vertical="center"/>
    </xf>
    <xf numFmtId="49" fontId="27" fillId="0" borderId="26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" fontId="7" fillId="10" borderId="18" xfId="4" applyNumberFormat="1" applyFont="1" applyFill="1" applyBorder="1" applyAlignment="1">
      <alignment horizontal="right" vertical="top"/>
    </xf>
    <xf numFmtId="4" fontId="7" fillId="10" borderId="28" xfId="4" applyNumberFormat="1" applyFont="1" applyFill="1" applyBorder="1" applyAlignment="1">
      <alignment horizontal="right" vertical="top"/>
    </xf>
    <xf numFmtId="171" fontId="25" fillId="0" borderId="77" xfId="0" applyNumberFormat="1" applyFont="1" applyBorder="1" applyAlignment="1">
      <alignment horizontal="left" vertical="center" wrapText="1"/>
    </xf>
    <xf numFmtId="171" fontId="25" fillId="0" borderId="78" xfId="0" applyNumberFormat="1" applyFont="1" applyBorder="1" applyAlignment="1">
      <alignment horizontal="left" vertical="center" wrapText="1"/>
    </xf>
    <xf numFmtId="171" fontId="25" fillId="0" borderId="79" xfId="0" applyNumberFormat="1" applyFont="1" applyBorder="1" applyAlignment="1">
      <alignment horizontal="left" vertical="center" wrapText="1"/>
    </xf>
    <xf numFmtId="4" fontId="2" fillId="0" borderId="51" xfId="4" applyNumberFormat="1" applyFont="1" applyFill="1" applyBorder="1" applyAlignment="1">
      <alignment horizontal="right" vertical="top"/>
    </xf>
    <xf numFmtId="4" fontId="2" fillId="0" borderId="53" xfId="4" applyNumberFormat="1" applyFont="1" applyFill="1" applyBorder="1" applyAlignment="1">
      <alignment horizontal="right" vertical="top"/>
    </xf>
    <xf numFmtId="4" fontId="2" fillId="0" borderId="58" xfId="4" applyNumberFormat="1" applyFont="1" applyFill="1" applyBorder="1" applyAlignment="1">
      <alignment horizontal="right" vertical="top"/>
    </xf>
    <xf numFmtId="4" fontId="2" fillId="0" borderId="66" xfId="4" applyNumberFormat="1" applyFont="1" applyFill="1" applyBorder="1" applyAlignment="1">
      <alignment horizontal="right" vertical="top"/>
    </xf>
    <xf numFmtId="170" fontId="5" fillId="0" borderId="39" xfId="4" applyNumberFormat="1" applyFont="1" applyFill="1" applyBorder="1" applyAlignment="1">
      <alignment horizontal="center" vertical="top"/>
    </xf>
    <xf numFmtId="164" fontId="8" fillId="8" borderId="17" xfId="4" applyFont="1" applyFill="1" applyBorder="1" applyAlignment="1">
      <alignment vertical="top" wrapText="1"/>
    </xf>
    <xf numFmtId="164" fontId="8" fillId="8" borderId="2" xfId="4" applyFont="1" applyFill="1" applyBorder="1" applyAlignment="1">
      <alignment vertical="top"/>
    </xf>
    <xf numFmtId="4" fontId="5" fillId="8" borderId="17" xfId="4" applyNumberFormat="1" applyFont="1" applyFill="1" applyBorder="1" applyAlignment="1">
      <alignment horizontal="right" vertical="top"/>
    </xf>
    <xf numFmtId="164" fontId="2" fillId="0" borderId="70" xfId="4" applyFont="1" applyFill="1" applyBorder="1" applyAlignment="1">
      <alignment horizontal="center" vertical="top"/>
    </xf>
    <xf numFmtId="164" fontId="2" fillId="0" borderId="30" xfId="4" applyFont="1" applyFill="1" applyBorder="1" applyAlignment="1">
      <alignment horizontal="center" vertical="top" wrapText="1"/>
    </xf>
    <xf numFmtId="164" fontId="2" fillId="0" borderId="30" xfId="4" applyFont="1" applyFill="1" applyBorder="1" applyAlignment="1">
      <alignment horizontal="center" vertical="top"/>
    </xf>
    <xf numFmtId="4" fontId="8" fillId="0" borderId="46" xfId="4" applyNumberFormat="1" applyFont="1" applyFill="1" applyBorder="1" applyAlignment="1">
      <alignment horizontal="right" vertical="top"/>
    </xf>
    <xf numFmtId="4" fontId="8" fillId="0" borderId="56" xfId="4" applyNumberFormat="1" applyFont="1" applyFill="1" applyBorder="1" applyAlignment="1">
      <alignment horizontal="right" vertical="top"/>
    </xf>
    <xf numFmtId="4" fontId="8" fillId="0" borderId="0" xfId="4" applyNumberFormat="1" applyFont="1" applyFill="1" applyBorder="1" applyAlignment="1">
      <alignment horizontal="right" vertical="top"/>
    </xf>
    <xf numFmtId="4" fontId="8" fillId="0" borderId="66" xfId="4" applyNumberFormat="1" applyFont="1" applyFill="1" applyBorder="1" applyAlignment="1">
      <alignment horizontal="right" vertical="top"/>
    </xf>
    <xf numFmtId="171" fontId="25" fillId="0" borderId="80" xfId="0" applyNumberFormat="1" applyFont="1" applyBorder="1" applyAlignment="1">
      <alignment horizontal="left" vertical="center" wrapText="1"/>
    </xf>
    <xf numFmtId="164" fontId="5" fillId="0" borderId="28" xfId="4" applyFont="1" applyFill="1" applyBorder="1" applyAlignment="1">
      <alignment vertical="top"/>
    </xf>
    <xf numFmtId="170" fontId="5" fillId="0" borderId="70" xfId="4" applyNumberFormat="1" applyFont="1" applyFill="1" applyBorder="1" applyAlignment="1">
      <alignment horizontal="center" vertical="top"/>
    </xf>
    <xf numFmtId="171" fontId="25" fillId="0" borderId="70" xfId="0" applyNumberFormat="1" applyFont="1" applyBorder="1" applyAlignment="1">
      <alignment horizontal="left" vertical="center" wrapText="1"/>
    </xf>
    <xf numFmtId="171" fontId="25" fillId="0" borderId="30" xfId="0" applyNumberFormat="1" applyFont="1" applyBorder="1" applyAlignment="1">
      <alignment horizontal="left" vertical="center" wrapText="1"/>
    </xf>
    <xf numFmtId="4" fontId="8" fillId="0" borderId="14" xfId="4" applyNumberFormat="1" applyFont="1" applyFill="1" applyBorder="1" applyAlignment="1">
      <alignment horizontal="right" vertical="top"/>
    </xf>
    <xf numFmtId="4" fontId="8" fillId="0" borderId="32" xfId="4" applyNumberFormat="1" applyFont="1" applyFill="1" applyBorder="1" applyAlignment="1">
      <alignment horizontal="right" vertical="top"/>
    </xf>
    <xf numFmtId="4" fontId="7" fillId="0" borderId="18" xfId="4" applyNumberFormat="1" applyFont="1" applyFill="1" applyBorder="1" applyAlignment="1">
      <alignment horizontal="right" vertical="top"/>
    </xf>
    <xf numFmtId="164" fontId="5" fillId="0" borderId="47" xfId="4" applyFont="1" applyFill="1" applyBorder="1" applyAlignment="1">
      <alignment vertical="top"/>
    </xf>
    <xf numFmtId="164" fontId="5" fillId="0" borderId="48" xfId="4" applyFont="1" applyFill="1" applyBorder="1" applyAlignment="1">
      <alignment vertical="top"/>
    </xf>
    <xf numFmtId="4" fontId="8" fillId="0" borderId="19" xfId="4" applyNumberFormat="1" applyFont="1" applyFill="1" applyBorder="1" applyAlignment="1">
      <alignment horizontal="right" vertical="top"/>
    </xf>
    <xf numFmtId="4" fontId="8" fillId="0" borderId="45" xfId="4" applyNumberFormat="1" applyFont="1" applyFill="1" applyBorder="1" applyAlignment="1">
      <alignment horizontal="right" vertical="top"/>
    </xf>
    <xf numFmtId="164" fontId="8" fillId="0" borderId="70" xfId="4" applyFont="1" applyFill="1" applyBorder="1" applyAlignment="1">
      <alignment horizontal="center" vertical="top"/>
    </xf>
    <xf numFmtId="164" fontId="8" fillId="0" borderId="30" xfId="4" applyFont="1" applyFill="1" applyBorder="1" applyAlignment="1">
      <alignment horizontal="center" vertical="top"/>
    </xf>
    <xf numFmtId="164" fontId="8" fillId="0" borderId="11" xfId="4" applyFont="1" applyFill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28" fillId="0" borderId="7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7" fillId="0" borderId="81" xfId="4" applyNumberFormat="1" applyFont="1" applyFill="1" applyBorder="1" applyAlignment="1">
      <alignment horizontal="right" vertical="top" wrapText="1"/>
    </xf>
    <xf numFmtId="164" fontId="5" fillId="6" borderId="43" xfId="4" applyFont="1" applyFill="1" applyBorder="1" applyAlignment="1">
      <alignment horizontal="center" vertical="top"/>
    </xf>
    <xf numFmtId="49" fontId="5" fillId="0" borderId="30" xfId="4" applyNumberFormat="1" applyFont="1" applyFill="1" applyBorder="1" applyAlignment="1">
      <alignment horizontal="center" vertical="top"/>
    </xf>
    <xf numFmtId="164" fontId="5" fillId="0" borderId="68" xfId="4" applyFont="1" applyFill="1" applyBorder="1" applyAlignment="1">
      <alignment vertical="top"/>
    </xf>
    <xf numFmtId="171" fontId="25" fillId="0" borderId="73" xfId="0" applyNumberFormat="1" applyFont="1" applyBorder="1" applyAlignment="1">
      <alignment horizontal="left" vertical="center" wrapText="1"/>
    </xf>
    <xf numFmtId="171" fontId="25" fillId="0" borderId="74" xfId="0" applyNumberFormat="1" applyFont="1" applyBorder="1" applyAlignment="1">
      <alignment horizontal="left" vertical="center" wrapText="1"/>
    </xf>
    <xf numFmtId="49" fontId="5" fillId="0" borderId="11" xfId="4" applyNumberFormat="1" applyFont="1" applyFill="1" applyBorder="1" applyAlignment="1">
      <alignment horizontal="center" vertical="top"/>
    </xf>
    <xf numFmtId="164" fontId="5" fillId="0" borderId="42" xfId="4" applyFont="1" applyFill="1" applyBorder="1" applyAlignment="1">
      <alignment vertical="top"/>
    </xf>
    <xf numFmtId="170" fontId="5" fillId="0" borderId="36" xfId="4" applyNumberFormat="1" applyFont="1" applyFill="1" applyBorder="1" applyAlignment="1">
      <alignment horizontal="center" vertical="top"/>
    </xf>
    <xf numFmtId="171" fontId="25" fillId="0" borderId="36" xfId="0" applyNumberFormat="1" applyFont="1" applyBorder="1" applyAlignment="1">
      <alignment horizontal="left" vertical="center" wrapText="1"/>
    </xf>
    <xf numFmtId="164" fontId="8" fillId="0" borderId="36" xfId="4" applyFont="1" applyFill="1" applyBorder="1" applyAlignment="1">
      <alignment horizontal="center" vertical="top"/>
    </xf>
    <xf numFmtId="4" fontId="7" fillId="0" borderId="39" xfId="4" applyNumberFormat="1" applyFont="1" applyFill="1" applyBorder="1" applyAlignment="1">
      <alignment horizontal="right" vertical="top"/>
    </xf>
    <xf numFmtId="10" fontId="7" fillId="0" borderId="37" xfId="4" applyNumberFormat="1" applyFont="1" applyFill="1" applyBorder="1" applyAlignment="1">
      <alignment horizontal="right" vertical="top"/>
    </xf>
    <xf numFmtId="164" fontId="5" fillId="5" borderId="46" xfId="4" applyFont="1" applyFill="1" applyBorder="1" applyAlignment="1">
      <alignment horizontal="left" vertical="top" wrapText="1"/>
    </xf>
    <xf numFmtId="164" fontId="2" fillId="5" borderId="0" xfId="4" applyFont="1" applyFill="1" applyBorder="1" applyAlignment="1">
      <alignment horizontal="center" vertical="top"/>
    </xf>
    <xf numFmtId="4" fontId="3" fillId="5" borderId="46" xfId="4" applyNumberFormat="1" applyFont="1" applyFill="1" applyBorder="1" applyAlignment="1">
      <alignment horizontal="right" vertical="top"/>
    </xf>
    <xf numFmtId="10" fontId="3" fillId="5" borderId="0" xfId="4" applyNumberFormat="1" applyFont="1" applyFill="1" applyBorder="1" applyAlignment="1">
      <alignment horizontal="right" vertical="top"/>
    </xf>
    <xf numFmtId="0" fontId="3" fillId="5" borderId="6" xfId="4" applyNumberFormat="1" applyFont="1" applyFill="1" applyBorder="1" applyAlignment="1">
      <alignment horizontal="right" vertical="top" wrapText="1"/>
    </xf>
    <xf numFmtId="4" fontId="5" fillId="6" borderId="17" xfId="4" applyNumberFormat="1" applyFont="1" applyFill="1" applyBorder="1" applyAlignment="1">
      <alignment horizontal="right" vertical="top"/>
    </xf>
    <xf numFmtId="10" fontId="5" fillId="6" borderId="3" xfId="4" applyNumberFormat="1" applyFont="1" applyFill="1" applyBorder="1" applyAlignment="1">
      <alignment horizontal="right" vertical="top"/>
    </xf>
    <xf numFmtId="0" fontId="5" fillId="6" borderId="10" xfId="4" applyNumberFormat="1" applyFont="1" applyFill="1" applyBorder="1" applyAlignment="1">
      <alignment horizontal="right" vertical="top" wrapText="1"/>
    </xf>
    <xf numFmtId="0" fontId="28" fillId="0" borderId="36" xfId="0" applyFont="1" applyBorder="1" applyAlignment="1">
      <alignment horizontal="center" vertical="center" wrapText="1"/>
    </xf>
    <xf numFmtId="0" fontId="0" fillId="0" borderId="57" xfId="0" applyBorder="1" applyAlignment="1">
      <alignment vertical="top"/>
    </xf>
    <xf numFmtId="10" fontId="5" fillId="6" borderId="17" xfId="4" applyNumberFormat="1" applyFont="1" applyFill="1" applyBorder="1" applyAlignment="1">
      <alignment horizontal="right" vertical="top"/>
    </xf>
    <xf numFmtId="164" fontId="5" fillId="0" borderId="45" xfId="4" applyFont="1" applyFill="1" applyBorder="1" applyAlignment="1">
      <alignment vertical="top"/>
    </xf>
    <xf numFmtId="49" fontId="5" fillId="0" borderId="33" xfId="4" applyNumberFormat="1" applyFont="1" applyFill="1" applyBorder="1" applyAlignment="1">
      <alignment horizontal="center" vertical="top"/>
    </xf>
    <xf numFmtId="171" fontId="26" fillId="0" borderId="75" xfId="0" applyNumberFormat="1" applyFont="1" applyBorder="1" applyAlignment="1">
      <alignment horizontal="left" vertical="center" wrapText="1"/>
    </xf>
    <xf numFmtId="4" fontId="8" fillId="0" borderId="31" xfId="4" applyNumberFormat="1" applyFont="1" applyFill="1" applyBorder="1" applyAlignment="1">
      <alignment horizontal="right" vertical="top"/>
    </xf>
    <xf numFmtId="4" fontId="8" fillId="0" borderId="34" xfId="4" applyNumberFormat="1" applyFont="1" applyFill="1" applyBorder="1" applyAlignment="1">
      <alignment horizontal="right" vertical="top"/>
    </xf>
    <xf numFmtId="4" fontId="8" fillId="0" borderId="35" xfId="4" applyNumberFormat="1" applyFont="1" applyFill="1" applyBorder="1" applyAlignment="1">
      <alignment horizontal="right" vertical="top"/>
    </xf>
    <xf numFmtId="4" fontId="7" fillId="0" borderId="31" xfId="4" applyNumberFormat="1" applyFont="1" applyFill="1" applyBorder="1" applyAlignment="1">
      <alignment horizontal="right" vertical="top"/>
    </xf>
    <xf numFmtId="4" fontId="7" fillId="0" borderId="45" xfId="4" applyNumberFormat="1" applyFont="1" applyFill="1" applyBorder="1" applyAlignment="1">
      <alignment horizontal="right" vertical="top"/>
    </xf>
    <xf numFmtId="164" fontId="5" fillId="4" borderId="7" xfId="4" applyFont="1" applyFill="1" applyBorder="1" applyAlignment="1">
      <alignment vertical="top"/>
    </xf>
    <xf numFmtId="49" fontId="5" fillId="4" borderId="8" xfId="4" applyNumberFormat="1" applyFont="1" applyFill="1" applyBorder="1" applyAlignment="1">
      <alignment horizontal="center" vertical="top"/>
    </xf>
    <xf numFmtId="164" fontId="4" fillId="4" borderId="17" xfId="4" applyFont="1" applyFill="1" applyBorder="1" applyAlignment="1">
      <alignment horizontal="left" vertical="top" wrapText="1"/>
    </xf>
    <xf numFmtId="164" fontId="5" fillId="4" borderId="2" xfId="4" applyFont="1" applyFill="1" applyBorder="1" applyAlignment="1">
      <alignment vertical="top"/>
    </xf>
    <xf numFmtId="4" fontId="5" fillId="4" borderId="7" xfId="4" applyNumberFormat="1" applyFont="1" applyFill="1" applyBorder="1" applyAlignment="1">
      <alignment horizontal="right" vertical="top"/>
    </xf>
    <xf numFmtId="4" fontId="5" fillId="4" borderId="8" xfId="4" applyNumberFormat="1" applyFont="1" applyFill="1" applyBorder="1" applyAlignment="1">
      <alignment horizontal="right" vertical="top"/>
    </xf>
    <xf numFmtId="4" fontId="5" fillId="4" borderId="17" xfId="4" applyNumberFormat="1" applyFont="1" applyFill="1" applyBorder="1" applyAlignment="1">
      <alignment horizontal="right" vertical="top"/>
    </xf>
    <xf numFmtId="10" fontId="7" fillId="0" borderId="82" xfId="4" applyNumberFormat="1" applyFont="1" applyFill="1" applyBorder="1" applyAlignment="1">
      <alignment horizontal="right" vertical="top"/>
    </xf>
    <xf numFmtId="4" fontId="7" fillId="0" borderId="11" xfId="4" applyNumberFormat="1" applyFont="1" applyFill="1" applyBorder="1" applyAlignment="1">
      <alignment horizontal="right" vertical="top"/>
    </xf>
    <xf numFmtId="10" fontId="7" fillId="4" borderId="82" xfId="4" applyNumberFormat="1" applyFont="1" applyFill="1" applyBorder="1" applyAlignment="1">
      <alignment horizontal="right" vertical="top"/>
    </xf>
    <xf numFmtId="4" fontId="7" fillId="4" borderId="70" xfId="4" applyNumberFormat="1" applyFont="1" applyFill="1" applyBorder="1" applyAlignment="1">
      <alignment horizontal="right" vertical="top"/>
    </xf>
    <xf numFmtId="0" fontId="7" fillId="0" borderId="73" xfId="4" applyNumberFormat="1" applyFont="1" applyFill="1" applyBorder="1" applyAlignment="1">
      <alignment horizontal="right" vertical="top" wrapText="1"/>
    </xf>
    <xf numFmtId="4" fontId="7" fillId="0" borderId="48" xfId="4" applyNumberFormat="1" applyFont="1" applyFill="1" applyBorder="1" applyAlignment="1">
      <alignment horizontal="right" vertical="top"/>
    </xf>
    <xf numFmtId="4" fontId="7" fillId="0" borderId="49" xfId="4" applyNumberFormat="1" applyFont="1" applyFill="1" applyBorder="1" applyAlignment="1">
      <alignment horizontal="right" vertical="top"/>
    </xf>
    <xf numFmtId="10" fontId="7" fillId="0" borderId="70" xfId="4" applyNumberFormat="1" applyFont="1" applyFill="1" applyBorder="1" applyAlignment="1">
      <alignment horizontal="right" vertical="top"/>
    </xf>
    <xf numFmtId="10" fontId="7" fillId="0" borderId="30" xfId="4" applyNumberFormat="1" applyFont="1" applyFill="1" applyBorder="1" applyAlignment="1">
      <alignment horizontal="right" vertical="top"/>
    </xf>
    <xf numFmtId="10" fontId="7" fillId="0" borderId="11" xfId="4" applyNumberFormat="1" applyFont="1" applyFill="1" applyBorder="1" applyAlignment="1">
      <alignment horizontal="right" vertical="top"/>
    </xf>
    <xf numFmtId="4" fontId="7" fillId="0" borderId="47" xfId="4" applyNumberFormat="1" applyFont="1" applyFill="1" applyBorder="1" applyAlignment="1">
      <alignment horizontal="right" vertical="top"/>
    </xf>
    <xf numFmtId="10" fontId="7" fillId="4" borderId="13" xfId="4" applyNumberFormat="1" applyFont="1" applyFill="1" applyBorder="1" applyAlignment="1">
      <alignment horizontal="right" vertical="top"/>
    </xf>
    <xf numFmtId="171" fontId="25" fillId="0" borderId="42" xfId="0" applyNumberFormat="1" applyFont="1" applyBorder="1" applyAlignment="1">
      <alignment horizontal="left" vertical="center" wrapText="1"/>
    </xf>
    <xf numFmtId="164" fontId="2" fillId="0" borderId="36" xfId="4" applyFont="1" applyFill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30" fillId="0" borderId="0" xfId="0" applyFont="1" applyAlignment="1"/>
    <xf numFmtId="4" fontId="31" fillId="0" borderId="0" xfId="0" applyNumberFormat="1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wrapText="1"/>
    </xf>
    <xf numFmtId="0" fontId="30" fillId="0" borderId="0" xfId="0" applyFont="1" applyBorder="1"/>
    <xf numFmtId="4" fontId="32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4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/>
    <xf numFmtId="0" fontId="32" fillId="11" borderId="23" xfId="0" applyFont="1" applyFill="1" applyBorder="1" applyAlignment="1">
      <alignment horizontal="center" vertical="center" wrapText="1"/>
    </xf>
    <xf numFmtId="0" fontId="32" fillId="11" borderId="18" xfId="0" applyFont="1" applyFill="1" applyBorder="1" applyAlignment="1">
      <alignment horizontal="center" vertical="center"/>
    </xf>
    <xf numFmtId="4" fontId="32" fillId="11" borderId="24" xfId="0" applyNumberFormat="1" applyFont="1" applyFill="1" applyBorder="1" applyAlignment="1">
      <alignment horizontal="center" vertical="center"/>
    </xf>
    <xf numFmtId="0" fontId="32" fillId="11" borderId="18" xfId="0" applyFont="1" applyFill="1" applyBorder="1" applyAlignment="1">
      <alignment horizontal="center" vertical="center" wrapText="1"/>
    </xf>
    <xf numFmtId="0" fontId="32" fillId="11" borderId="18" xfId="0" applyFont="1" applyFill="1" applyBorder="1" applyAlignment="1">
      <alignment horizontal="left" vertical="center" wrapText="1"/>
    </xf>
    <xf numFmtId="4" fontId="32" fillId="11" borderId="18" xfId="0" applyNumberFormat="1" applyFont="1" applyFill="1" applyBorder="1" applyAlignment="1">
      <alignment horizontal="center" vertical="center" wrapText="1"/>
    </xf>
    <xf numFmtId="0" fontId="32" fillId="11" borderId="24" xfId="0" applyFont="1" applyFill="1" applyBorder="1" applyAlignment="1">
      <alignment horizontal="center" vertical="center" wrapText="1"/>
    </xf>
    <xf numFmtId="0" fontId="31" fillId="0" borderId="0" xfId="0" applyFont="1"/>
    <xf numFmtId="49" fontId="32" fillId="12" borderId="23" xfId="5" applyNumberFormat="1" applyFont="1" applyFill="1" applyBorder="1" applyAlignment="1">
      <alignment horizontal="center" vertical="center"/>
    </xf>
    <xf numFmtId="171" fontId="32" fillId="12" borderId="18" xfId="5" applyNumberFormat="1" applyFont="1" applyFill="1" applyBorder="1" applyAlignment="1">
      <alignment vertical="center" wrapText="1"/>
    </xf>
    <xf numFmtId="171" fontId="32" fillId="12" borderId="24" xfId="5" applyNumberFormat="1" applyFont="1" applyFill="1" applyBorder="1" applyAlignment="1">
      <alignment vertical="center" wrapText="1"/>
    </xf>
    <xf numFmtId="171" fontId="32" fillId="12" borderId="23" xfId="5" applyNumberFormat="1" applyFont="1" applyFill="1" applyBorder="1" applyAlignment="1">
      <alignment vertical="center" wrapText="1"/>
    </xf>
    <xf numFmtId="171" fontId="32" fillId="12" borderId="18" xfId="5" applyNumberFormat="1" applyFont="1" applyFill="1" applyBorder="1" applyAlignment="1">
      <alignment horizontal="center" vertical="center" wrapText="1"/>
    </xf>
    <xf numFmtId="171" fontId="32" fillId="12" borderId="18" xfId="5" applyNumberFormat="1" applyFont="1" applyFill="1" applyBorder="1" applyAlignment="1">
      <alignment horizontal="left" vertical="top" wrapText="1"/>
    </xf>
    <xf numFmtId="4" fontId="31" fillId="0" borderId="18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0" xfId="0" applyFont="1" applyFill="1"/>
    <xf numFmtId="49" fontId="32" fillId="13" borderId="23" xfId="6" applyNumberFormat="1" applyFont="1" applyFill="1" applyBorder="1" applyAlignment="1">
      <alignment horizontal="center" vertical="center"/>
    </xf>
    <xf numFmtId="171" fontId="32" fillId="13" borderId="18" xfId="6" applyNumberFormat="1" applyFont="1" applyFill="1" applyBorder="1" applyAlignment="1">
      <alignment vertical="center" wrapText="1"/>
    </xf>
    <xf numFmtId="4" fontId="32" fillId="13" borderId="24" xfId="0" applyNumberFormat="1" applyFont="1" applyFill="1" applyBorder="1" applyAlignment="1">
      <alignment horizontal="center" vertical="center"/>
    </xf>
    <xf numFmtId="0" fontId="31" fillId="13" borderId="23" xfId="0" applyFont="1" applyFill="1" applyBorder="1"/>
    <xf numFmtId="4" fontId="32" fillId="13" borderId="18" xfId="0" applyNumberFormat="1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left" vertical="top"/>
    </xf>
    <xf numFmtId="4" fontId="31" fillId="13" borderId="18" xfId="0" applyNumberFormat="1" applyFont="1" applyFill="1" applyBorder="1" applyAlignment="1">
      <alignment horizontal="center" vertical="center"/>
    </xf>
    <xf numFmtId="0" fontId="31" fillId="13" borderId="24" xfId="0" applyFont="1" applyFill="1" applyBorder="1" applyAlignment="1">
      <alignment vertical="center"/>
    </xf>
    <xf numFmtId="49" fontId="37" fillId="0" borderId="23" xfId="6" applyNumberFormat="1" applyFont="1" applyFill="1" applyBorder="1" applyAlignment="1">
      <alignment horizontal="center" vertical="center"/>
    </xf>
    <xf numFmtId="171" fontId="34" fillId="0" borderId="18" xfId="6" applyNumberFormat="1" applyFont="1" applyFill="1" applyBorder="1" applyAlignment="1">
      <alignment vertical="center" wrapText="1"/>
    </xf>
    <xf numFmtId="4" fontId="31" fillId="0" borderId="24" xfId="0" applyNumberFormat="1" applyFont="1" applyFill="1" applyBorder="1" applyAlignment="1">
      <alignment horizontal="center" vertical="center"/>
    </xf>
    <xf numFmtId="171" fontId="34" fillId="0" borderId="23" xfId="5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4" fontId="31" fillId="0" borderId="0" xfId="0" applyNumberFormat="1" applyFont="1" applyFill="1"/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top" wrapText="1"/>
    </xf>
    <xf numFmtId="4" fontId="32" fillId="11" borderId="24" xfId="6" applyNumberFormat="1" applyFont="1" applyFill="1" applyBorder="1" applyAlignment="1">
      <alignment horizontal="center" vertical="center" wrapText="1"/>
    </xf>
    <xf numFmtId="171" fontId="34" fillId="11" borderId="23" xfId="5" applyNumberFormat="1" applyFont="1" applyFill="1" applyBorder="1" applyAlignment="1">
      <alignment horizontal="center" vertical="center" wrapText="1"/>
    </xf>
    <xf numFmtId="4" fontId="32" fillId="11" borderId="18" xfId="6" applyNumberFormat="1" applyFont="1" applyFill="1" applyBorder="1" applyAlignment="1">
      <alignment horizontal="center" vertical="center" wrapText="1"/>
    </xf>
    <xf numFmtId="0" fontId="31" fillId="11" borderId="18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left" vertical="top"/>
    </xf>
    <xf numFmtId="4" fontId="31" fillId="11" borderId="24" xfId="0" applyNumberFormat="1" applyFont="1" applyFill="1" applyBorder="1" applyAlignment="1">
      <alignment vertical="center"/>
    </xf>
    <xf numFmtId="0" fontId="31" fillId="11" borderId="0" xfId="0" applyFont="1" applyFill="1"/>
    <xf numFmtId="4" fontId="31" fillId="13" borderId="24" xfId="0" applyNumberFormat="1" applyFont="1" applyFill="1" applyBorder="1" applyAlignment="1">
      <alignment horizontal="center" vertical="center"/>
    </xf>
    <xf numFmtId="171" fontId="34" fillId="13" borderId="23" xfId="5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vertical="top" wrapText="1"/>
    </xf>
    <xf numFmtId="4" fontId="31" fillId="10" borderId="18" xfId="0" applyNumberFormat="1" applyFont="1" applyFill="1" applyBorder="1" applyAlignment="1">
      <alignment horizontal="center" vertical="center"/>
    </xf>
    <xf numFmtId="4" fontId="32" fillId="11" borderId="18" xfId="0" applyNumberFormat="1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vertical="center"/>
    </xf>
    <xf numFmtId="4" fontId="31" fillId="0" borderId="24" xfId="0" applyNumberFormat="1" applyFont="1" applyFill="1" applyBorder="1" applyAlignment="1">
      <alignment vertical="center"/>
    </xf>
    <xf numFmtId="49" fontId="32" fillId="0" borderId="23" xfId="6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4" fontId="31" fillId="11" borderId="23" xfId="0" applyNumberFormat="1" applyFont="1" applyFill="1" applyBorder="1"/>
    <xf numFmtId="0" fontId="31" fillId="0" borderId="24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left" vertical="top" wrapText="1"/>
    </xf>
    <xf numFmtId="0" fontId="31" fillId="0" borderId="32" xfId="0" applyFont="1" applyFill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31" fillId="0" borderId="23" xfId="0" applyFont="1" applyFill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18" xfId="0" applyFont="1" applyBorder="1" applyAlignment="1">
      <alignment horizontal="center" vertical="center" wrapText="1"/>
    </xf>
    <xf numFmtId="170" fontId="37" fillId="0" borderId="23" xfId="6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vertical="center" wrapText="1"/>
    </xf>
    <xf numFmtId="170" fontId="32" fillId="0" borderId="23" xfId="6" applyNumberFormat="1" applyFont="1" applyFill="1" applyBorder="1" applyAlignment="1">
      <alignment horizontal="center" vertical="center"/>
    </xf>
    <xf numFmtId="4" fontId="38" fillId="11" borderId="24" xfId="6" applyNumberFormat="1" applyFont="1" applyFill="1" applyBorder="1" applyAlignment="1">
      <alignment horizontal="center" vertical="center"/>
    </xf>
    <xf numFmtId="4" fontId="38" fillId="11" borderId="18" xfId="6" applyNumberFormat="1" applyFont="1" applyFill="1" applyBorder="1" applyAlignment="1">
      <alignment horizontal="center" vertical="center"/>
    </xf>
    <xf numFmtId="49" fontId="37" fillId="10" borderId="23" xfId="6" applyNumberFormat="1" applyFont="1" applyFill="1" applyBorder="1" applyAlignment="1">
      <alignment horizontal="center" vertical="center"/>
    </xf>
    <xf numFmtId="171" fontId="34" fillId="10" borderId="18" xfId="6" applyNumberFormat="1" applyFont="1" applyFill="1" applyBorder="1" applyAlignment="1">
      <alignment vertical="center" wrapText="1"/>
    </xf>
    <xf numFmtId="4" fontId="31" fillId="10" borderId="24" xfId="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/>
    </xf>
    <xf numFmtId="4" fontId="31" fillId="0" borderId="0" xfId="0" applyNumberFormat="1" applyFont="1"/>
    <xf numFmtId="171" fontId="32" fillId="16" borderId="38" xfId="6" applyNumberFormat="1" applyFont="1" applyFill="1" applyBorder="1" applyAlignment="1">
      <alignment horizontal="left" vertical="center" wrapText="1"/>
    </xf>
    <xf numFmtId="171" fontId="32" fillId="16" borderId="39" xfId="6" applyNumberFormat="1" applyFont="1" applyFill="1" applyBorder="1" applyAlignment="1">
      <alignment horizontal="left" vertical="center" wrapText="1"/>
    </xf>
    <xf numFmtId="4" fontId="38" fillId="10" borderId="40" xfId="6" applyNumberFormat="1" applyFont="1" applyFill="1" applyBorder="1" applyAlignment="1">
      <alignment horizontal="center" vertical="center"/>
    </xf>
    <xf numFmtId="4" fontId="31" fillId="10" borderId="38" xfId="0" applyNumberFormat="1" applyFont="1" applyFill="1" applyBorder="1"/>
    <xf numFmtId="4" fontId="38" fillId="10" borderId="39" xfId="6" applyNumberFormat="1" applyFont="1" applyFill="1" applyBorder="1" applyAlignment="1">
      <alignment horizontal="center" vertical="center"/>
    </xf>
    <xf numFmtId="0" fontId="31" fillId="10" borderId="40" xfId="0" applyFont="1" applyFill="1" applyBorder="1" applyAlignment="1">
      <alignment vertical="center"/>
    </xf>
    <xf numFmtId="0" fontId="31" fillId="10" borderId="0" xfId="0" applyFont="1" applyFill="1"/>
    <xf numFmtId="4" fontId="32" fillId="9" borderId="27" xfId="0" applyNumberFormat="1" applyFont="1" applyFill="1" applyBorder="1" applyAlignment="1">
      <alignment horizontal="center" vertical="center"/>
    </xf>
    <xf numFmtId="0" fontId="32" fillId="9" borderId="25" xfId="0" applyFont="1" applyFill="1" applyBorder="1"/>
    <xf numFmtId="4" fontId="32" fillId="9" borderId="26" xfId="0" applyNumberFormat="1" applyFont="1" applyFill="1" applyBorder="1" applyAlignment="1">
      <alignment horizontal="center" vertical="center"/>
    </xf>
    <xf numFmtId="0" fontId="32" fillId="9" borderId="26" xfId="0" applyFont="1" applyFill="1" applyBorder="1" applyAlignment="1">
      <alignment horizontal="center" vertical="center"/>
    </xf>
    <xf numFmtId="0" fontId="32" fillId="9" borderId="26" xfId="0" applyFont="1" applyFill="1" applyBorder="1" applyAlignment="1">
      <alignment horizontal="left" vertical="top"/>
    </xf>
    <xf numFmtId="0" fontId="32" fillId="9" borderId="27" xfId="0" applyFont="1" applyFill="1" applyBorder="1" applyAlignment="1">
      <alignment vertical="center"/>
    </xf>
    <xf numFmtId="0" fontId="32" fillId="9" borderId="0" xfId="0" applyFont="1" applyFill="1"/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/>
    <xf numFmtId="4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4" fontId="30" fillId="0" borderId="0" xfId="0" applyNumberFormat="1" applyFont="1"/>
    <xf numFmtId="0" fontId="31" fillId="0" borderId="24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/>
    </xf>
    <xf numFmtId="4" fontId="32" fillId="11" borderId="28" xfId="6" applyNumberFormat="1" applyFont="1" applyFill="1" applyBorder="1" applyAlignment="1">
      <alignment horizontal="center" vertical="center" wrapText="1"/>
    </xf>
    <xf numFmtId="0" fontId="31" fillId="11" borderId="18" xfId="0" applyFont="1" applyFill="1" applyBorder="1"/>
    <xf numFmtId="0" fontId="31" fillId="11" borderId="23" xfId="0" applyFont="1" applyFill="1" applyBorder="1"/>
    <xf numFmtId="4" fontId="32" fillId="11" borderId="28" xfId="0" applyNumberFormat="1" applyFont="1" applyFill="1" applyBorder="1" applyAlignment="1">
      <alignment horizontal="center" vertical="center"/>
    </xf>
    <xf numFmtId="171" fontId="34" fillId="0" borderId="18" xfId="6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10" borderId="29" xfId="0" applyFont="1" applyFill="1" applyBorder="1" applyAlignment="1">
      <alignment horizontal="left" vertical="top" wrapText="1"/>
    </xf>
    <xf numFmtId="4" fontId="31" fillId="0" borderId="39" xfId="0" applyNumberFormat="1" applyFont="1" applyFill="1" applyBorder="1" applyAlignment="1">
      <alignment horizontal="center" vertical="center"/>
    </xf>
    <xf numFmtId="4" fontId="31" fillId="0" borderId="40" xfId="0" applyNumberFormat="1" applyFont="1" applyFill="1" applyBorder="1" applyAlignment="1">
      <alignment vertical="center"/>
    </xf>
    <xf numFmtId="171" fontId="32" fillId="0" borderId="18" xfId="6" applyNumberFormat="1" applyFont="1" applyFill="1" applyBorder="1" applyAlignment="1">
      <alignment horizontal="left" vertical="center" wrapText="1"/>
    </xf>
    <xf numFmtId="0" fontId="31" fillId="0" borderId="23" xfId="0" applyFont="1" applyFill="1" applyBorder="1"/>
    <xf numFmtId="4" fontId="31" fillId="0" borderId="18" xfId="0" applyNumberFormat="1" applyFont="1" applyFill="1" applyBorder="1"/>
    <xf numFmtId="0" fontId="31" fillId="0" borderId="18" xfId="0" applyFont="1" applyFill="1" applyBorder="1"/>
    <xf numFmtId="0" fontId="31" fillId="0" borderId="18" xfId="0" applyFont="1" applyFill="1" applyBorder="1" applyAlignment="1">
      <alignment horizontal="left" vertical="top"/>
    </xf>
    <xf numFmtId="0" fontId="31" fillId="0" borderId="31" xfId="0" applyFont="1" applyFill="1" applyBorder="1" applyAlignment="1">
      <alignment wrapText="1"/>
    </xf>
    <xf numFmtId="0" fontId="31" fillId="0" borderId="32" xfId="0" applyFont="1" applyFill="1" applyBorder="1" applyAlignment="1">
      <alignment horizontal="left" vertical="top"/>
    </xf>
    <xf numFmtId="0" fontId="39" fillId="0" borderId="18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vertical="center"/>
    </xf>
    <xf numFmtId="0" fontId="39" fillId="0" borderId="18" xfId="0" applyFont="1" applyFill="1" applyBorder="1" applyAlignment="1">
      <alignment horizontal="left" vertical="top"/>
    </xf>
    <xf numFmtId="0" fontId="31" fillId="0" borderId="18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/>
    </xf>
    <xf numFmtId="4" fontId="38" fillId="11" borderId="28" xfId="6" applyNumberFormat="1" applyFont="1" applyFill="1" applyBorder="1" applyAlignment="1">
      <alignment horizontal="center" vertical="center"/>
    </xf>
    <xf numFmtId="171" fontId="32" fillId="10" borderId="38" xfId="6" applyNumberFormat="1" applyFont="1" applyFill="1" applyBorder="1" applyAlignment="1">
      <alignment horizontal="left" vertical="center" wrapText="1"/>
    </xf>
    <xf numFmtId="171" fontId="32" fillId="10" borderId="39" xfId="6" applyNumberFormat="1" applyFont="1" applyFill="1" applyBorder="1" applyAlignment="1">
      <alignment horizontal="left" vertical="center" wrapText="1"/>
    </xf>
    <xf numFmtId="4" fontId="38" fillId="10" borderId="42" xfId="6" applyNumberFormat="1" applyFont="1" applyFill="1" applyBorder="1" applyAlignment="1">
      <alignment horizontal="center" vertical="center"/>
    </xf>
    <xf numFmtId="4" fontId="32" fillId="17" borderId="27" xfId="0" applyNumberFormat="1" applyFont="1" applyFill="1" applyBorder="1" applyAlignment="1">
      <alignment horizontal="center" vertical="center"/>
    </xf>
    <xf numFmtId="0" fontId="32" fillId="17" borderId="25" xfId="0" applyFont="1" applyFill="1" applyBorder="1"/>
    <xf numFmtId="4" fontId="32" fillId="17" borderId="60" xfId="0" applyNumberFormat="1" applyFont="1" applyFill="1" applyBorder="1" applyAlignment="1">
      <alignment horizontal="center" vertical="center"/>
    </xf>
    <xf numFmtId="0" fontId="32" fillId="17" borderId="26" xfId="0" applyFont="1" applyFill="1" applyBorder="1"/>
    <xf numFmtId="0" fontId="32" fillId="17" borderId="26" xfId="0" applyFont="1" applyFill="1" applyBorder="1" applyAlignment="1">
      <alignment horizontal="left" vertical="top"/>
    </xf>
    <xf numFmtId="0" fontId="32" fillId="17" borderId="27" xfId="0" applyFont="1" applyFill="1" applyBorder="1" applyAlignment="1">
      <alignment vertical="center"/>
    </xf>
    <xf numFmtId="0" fontId="32" fillId="0" borderId="0" xfId="0" applyFont="1" applyFill="1"/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4" fontId="31" fillId="0" borderId="0" xfId="0" applyNumberFormat="1" applyFont="1" applyFill="1" applyBorder="1"/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4" fontId="31" fillId="0" borderId="0" xfId="0" applyNumberFormat="1" applyFont="1" applyBorder="1"/>
    <xf numFmtId="0" fontId="31" fillId="0" borderId="0" xfId="0" applyFont="1" applyAlignment="1">
      <alignment horizontal="left"/>
    </xf>
    <xf numFmtId="0" fontId="31" fillId="10" borderId="18" xfId="0" applyFont="1" applyFill="1" applyBorder="1" applyAlignment="1">
      <alignment horizontal="left" vertical="top" wrapText="1"/>
    </xf>
    <xf numFmtId="4" fontId="31" fillId="0" borderId="18" xfId="0" applyNumberFormat="1" applyFont="1" applyFill="1" applyBorder="1" applyAlignment="1">
      <alignment horizontal="center" vertical="center"/>
    </xf>
    <xf numFmtId="170" fontId="37" fillId="0" borderId="23" xfId="6" applyNumberFormat="1" applyFont="1" applyFill="1" applyBorder="1" applyAlignment="1">
      <alignment horizontal="center" vertical="center"/>
    </xf>
    <xf numFmtId="4" fontId="31" fillId="0" borderId="32" xfId="0" applyNumberFormat="1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31" fillId="0" borderId="0" xfId="0" applyFont="1" applyFill="1" applyAlignment="1">
      <alignment horizontal="center"/>
    </xf>
    <xf numFmtId="0" fontId="31" fillId="0" borderId="32" xfId="0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10" fontId="18" fillId="0" borderId="28" xfId="0" applyNumberFormat="1" applyFont="1" applyBorder="1" applyAlignment="1">
      <alignment horizontal="center" vertical="center"/>
    </xf>
    <xf numFmtId="10" fontId="18" fillId="0" borderId="73" xfId="0" applyNumberFormat="1" applyFont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164" fontId="11" fillId="2" borderId="2" xfId="4" applyFont="1" applyFill="1" applyBorder="1" applyAlignment="1">
      <alignment horizontal="left"/>
    </xf>
    <xf numFmtId="164" fontId="11" fillId="2" borderId="3" xfId="4" applyFont="1" applyFill="1" applyBorder="1" applyAlignment="1">
      <alignment horizontal="left"/>
    </xf>
    <xf numFmtId="164" fontId="11" fillId="2" borderId="4" xfId="4" applyFont="1" applyFill="1" applyBorder="1" applyAlignment="1">
      <alignment horizontal="left"/>
    </xf>
    <xf numFmtId="164" fontId="8" fillId="0" borderId="0" xfId="4" applyFont="1" applyFill="1" applyBorder="1" applyAlignment="1">
      <alignment horizontal="center"/>
    </xf>
    <xf numFmtId="164" fontId="5" fillId="6" borderId="7" xfId="4" applyFont="1" applyFill="1" applyBorder="1" applyAlignment="1">
      <alignment horizontal="left" vertical="top"/>
    </xf>
    <xf numFmtId="164" fontId="5" fillId="6" borderId="8" xfId="4" applyFont="1" applyFill="1" applyBorder="1" applyAlignment="1">
      <alignment horizontal="left" vertical="top"/>
    </xf>
    <xf numFmtId="164" fontId="5" fillId="6" borderId="17" xfId="4" applyFont="1" applyFill="1" applyBorder="1" applyAlignment="1">
      <alignment horizontal="left" vertical="top"/>
    </xf>
    <xf numFmtId="164" fontId="5" fillId="6" borderId="65" xfId="4" applyFont="1" applyFill="1" applyBorder="1" applyAlignment="1">
      <alignment horizontal="left" vertical="top"/>
    </xf>
    <xf numFmtId="164" fontId="5" fillId="6" borderId="67" xfId="4" applyFont="1" applyFill="1" applyBorder="1" applyAlignment="1">
      <alignment horizontal="left" vertical="top"/>
    </xf>
    <xf numFmtId="164" fontId="5" fillId="6" borderId="64" xfId="4" applyFont="1" applyFill="1" applyBorder="1" applyAlignment="1">
      <alignment horizontal="left" vertical="top"/>
    </xf>
    <xf numFmtId="0" fontId="5" fillId="3" borderId="1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3" fontId="5" fillId="3" borderId="44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0" fontId="5" fillId="3" borderId="15" xfId="2" applyNumberFormat="1" applyFont="1" applyFill="1" applyBorder="1" applyAlignment="1">
      <alignment horizontal="center" vertical="center" wrapText="1"/>
    </xf>
    <xf numFmtId="0" fontId="5" fillId="3" borderId="6" xfId="2" applyNumberFormat="1" applyFont="1" applyFill="1" applyBorder="1" applyAlignment="1">
      <alignment horizontal="center" vertical="center" wrapText="1"/>
    </xf>
    <xf numFmtId="0" fontId="5" fillId="3" borderId="16" xfId="2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4" fontId="31" fillId="0" borderId="39" xfId="0" applyNumberFormat="1" applyFont="1" applyFill="1" applyBorder="1" applyAlignment="1">
      <alignment horizontal="center" vertical="center"/>
    </xf>
    <xf numFmtId="4" fontId="31" fillId="0" borderId="53" xfId="0" applyNumberFormat="1" applyFont="1" applyFill="1" applyBorder="1" applyAlignment="1">
      <alignment horizontal="center" vertical="center"/>
    </xf>
    <xf numFmtId="4" fontId="31" fillId="0" borderId="32" xfId="0" applyNumberFormat="1" applyFont="1" applyFill="1" applyBorder="1" applyAlignment="1">
      <alignment horizontal="center" vertical="center"/>
    </xf>
    <xf numFmtId="170" fontId="37" fillId="0" borderId="38" xfId="6" applyNumberFormat="1" applyFont="1" applyFill="1" applyBorder="1" applyAlignment="1">
      <alignment horizontal="center" vertical="center"/>
    </xf>
    <xf numFmtId="170" fontId="37" fillId="0" borderId="51" xfId="6" applyNumberFormat="1" applyFont="1" applyFill="1" applyBorder="1" applyAlignment="1">
      <alignment horizontal="center" vertical="center"/>
    </xf>
    <xf numFmtId="170" fontId="37" fillId="0" borderId="31" xfId="6" applyNumberFormat="1" applyFont="1" applyFill="1" applyBorder="1" applyAlignment="1">
      <alignment horizontal="center" vertical="center"/>
    </xf>
    <xf numFmtId="171" fontId="34" fillId="0" borderId="39" xfId="6" applyNumberFormat="1" applyFont="1" applyFill="1" applyBorder="1" applyAlignment="1">
      <alignment horizontal="center" vertical="center" wrapText="1"/>
    </xf>
    <xf numFmtId="171" fontId="34" fillId="0" borderId="53" xfId="6" applyNumberFormat="1" applyFont="1" applyFill="1" applyBorder="1" applyAlignment="1">
      <alignment horizontal="center" vertical="center" wrapText="1"/>
    </xf>
    <xf numFmtId="171" fontId="34" fillId="0" borderId="32" xfId="6" applyNumberFormat="1" applyFont="1" applyFill="1" applyBorder="1" applyAlignment="1">
      <alignment horizontal="center" vertical="center" wrapText="1"/>
    </xf>
    <xf numFmtId="4" fontId="31" fillId="0" borderId="40" xfId="0" applyNumberFormat="1" applyFont="1" applyFill="1" applyBorder="1" applyAlignment="1">
      <alignment horizontal="center" vertical="center"/>
    </xf>
    <xf numFmtId="4" fontId="31" fillId="0" borderId="66" xfId="0" applyNumberFormat="1" applyFont="1" applyFill="1" applyBorder="1" applyAlignment="1">
      <alignment horizontal="center" vertical="center"/>
    </xf>
    <xf numFmtId="4" fontId="31" fillId="0" borderId="34" xfId="0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left" vertical="top" wrapText="1"/>
    </xf>
    <xf numFmtId="0" fontId="31" fillId="10" borderId="18" xfId="0" applyFont="1" applyFill="1" applyBorder="1" applyAlignment="1">
      <alignment horizontal="left" vertical="top"/>
    </xf>
    <xf numFmtId="0" fontId="40" fillId="0" borderId="18" xfId="0" applyFont="1" applyBorder="1" applyAlignment="1">
      <alignment horizontal="left" vertical="center"/>
    </xf>
    <xf numFmtId="171" fontId="32" fillId="14" borderId="23" xfId="6" applyNumberFormat="1" applyFont="1" applyFill="1" applyBorder="1" applyAlignment="1">
      <alignment horizontal="left" vertical="top" wrapText="1"/>
    </xf>
    <xf numFmtId="171" fontId="32" fillId="14" borderId="18" xfId="6" applyNumberFormat="1" applyFont="1" applyFill="1" applyBorder="1" applyAlignment="1">
      <alignment horizontal="left" vertical="top" wrapText="1"/>
    </xf>
    <xf numFmtId="170" fontId="32" fillId="10" borderId="23" xfId="6" applyNumberFormat="1" applyFont="1" applyFill="1" applyBorder="1" applyAlignment="1">
      <alignment horizontal="center" vertical="center"/>
    </xf>
    <xf numFmtId="171" fontId="34" fillId="10" borderId="18" xfId="6" applyNumberFormat="1" applyFont="1" applyFill="1" applyBorder="1" applyAlignment="1">
      <alignment vertical="center" wrapText="1"/>
    </xf>
    <xf numFmtId="4" fontId="31" fillId="10" borderId="24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171" fontId="32" fillId="15" borderId="23" xfId="6" applyNumberFormat="1" applyFont="1" applyFill="1" applyBorder="1" applyAlignment="1">
      <alignment horizontal="left" vertical="center" wrapText="1"/>
    </xf>
    <xf numFmtId="171" fontId="32" fillId="15" borderId="18" xfId="6" applyNumberFormat="1" applyFont="1" applyFill="1" applyBorder="1" applyAlignment="1">
      <alignment horizontal="left" vertical="center" wrapText="1"/>
    </xf>
    <xf numFmtId="0" fontId="31" fillId="10" borderId="28" xfId="0" applyFont="1" applyFill="1" applyBorder="1" applyAlignment="1">
      <alignment horizontal="left" vertical="top" wrapText="1"/>
    </xf>
    <xf numFmtId="0" fontId="31" fillId="10" borderId="29" xfId="0" applyFont="1" applyFill="1" applyBorder="1" applyAlignment="1">
      <alignment horizontal="left" vertical="top" wrapText="1"/>
    </xf>
    <xf numFmtId="0" fontId="32" fillId="9" borderId="25" xfId="0" applyFont="1" applyFill="1" applyBorder="1" applyAlignment="1">
      <alignment horizontal="center"/>
    </xf>
    <xf numFmtId="0" fontId="32" fillId="9" borderId="26" xfId="0" applyFont="1" applyFill="1" applyBorder="1" applyAlignment="1">
      <alignment horizontal="center"/>
    </xf>
    <xf numFmtId="49" fontId="37" fillId="10" borderId="23" xfId="6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/>
    </xf>
    <xf numFmtId="49" fontId="32" fillId="0" borderId="23" xfId="6" applyNumberFormat="1" applyFont="1" applyFill="1" applyBorder="1" applyAlignment="1">
      <alignment horizontal="center" vertical="center"/>
    </xf>
    <xf numFmtId="171" fontId="34" fillId="0" borderId="18" xfId="6" applyNumberFormat="1" applyFont="1" applyFill="1" applyBorder="1" applyAlignment="1">
      <alignment vertical="center" wrapText="1"/>
    </xf>
    <xf numFmtId="4" fontId="31" fillId="0" borderId="24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170" fontId="37" fillId="0" borderId="23" xfId="6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/>
    </xf>
    <xf numFmtId="0" fontId="31" fillId="0" borderId="51" xfId="0" applyFont="1" applyBorder="1" applyAlignment="1">
      <alignment horizontal="center" vertical="center" wrapText="1"/>
    </xf>
    <xf numFmtId="171" fontId="32" fillId="14" borderId="23" xfId="6" applyNumberFormat="1" applyFont="1" applyFill="1" applyBorder="1" applyAlignment="1">
      <alignment horizontal="left" vertical="center" wrapText="1"/>
    </xf>
    <xf numFmtId="171" fontId="32" fillId="14" borderId="18" xfId="6" applyNumberFormat="1" applyFont="1" applyFill="1" applyBorder="1" applyAlignment="1">
      <alignment horizontal="left" vertical="center" wrapText="1"/>
    </xf>
    <xf numFmtId="49" fontId="32" fillId="0" borderId="38" xfId="6" applyNumberFormat="1" applyFont="1" applyFill="1" applyBorder="1" applyAlignment="1">
      <alignment horizontal="center" vertical="center"/>
    </xf>
    <xf numFmtId="49" fontId="32" fillId="0" borderId="51" xfId="6" applyNumberFormat="1" applyFont="1" applyFill="1" applyBorder="1" applyAlignment="1">
      <alignment horizontal="center" vertical="center"/>
    </xf>
    <xf numFmtId="49" fontId="32" fillId="0" borderId="31" xfId="6" applyNumberFormat="1" applyFont="1" applyFill="1" applyBorder="1" applyAlignment="1">
      <alignment horizontal="center" vertical="center"/>
    </xf>
    <xf numFmtId="49" fontId="37" fillId="0" borderId="23" xfId="6" applyNumberFormat="1" applyFont="1" applyFill="1" applyBorder="1" applyAlignment="1">
      <alignment horizontal="center" vertical="center"/>
    </xf>
    <xf numFmtId="171" fontId="34" fillId="0" borderId="38" xfId="5" applyNumberFormat="1" applyFont="1" applyFill="1" applyBorder="1" applyAlignment="1">
      <alignment horizontal="center" vertical="center" wrapText="1"/>
    </xf>
    <xf numFmtId="171" fontId="34" fillId="0" borderId="51" xfId="5" applyNumberFormat="1" applyFont="1" applyFill="1" applyBorder="1" applyAlignment="1">
      <alignment horizontal="center" vertical="center" wrapText="1"/>
    </xf>
    <xf numFmtId="171" fontId="34" fillId="0" borderId="31" xfId="5" applyNumberFormat="1" applyFont="1" applyFill="1" applyBorder="1" applyAlignment="1">
      <alignment horizontal="center" vertical="center" wrapText="1"/>
    </xf>
    <xf numFmtId="171" fontId="34" fillId="0" borderId="23" xfId="5" applyNumberFormat="1" applyFont="1" applyFill="1" applyBorder="1" applyAlignment="1">
      <alignment horizontal="center" vertical="center" wrapText="1"/>
    </xf>
    <xf numFmtId="171" fontId="37" fillId="0" borderId="23" xfId="6" applyNumberFormat="1" applyFont="1" applyFill="1" applyBorder="1" applyAlignment="1">
      <alignment horizontal="center" vertical="center" wrapText="1"/>
    </xf>
    <xf numFmtId="171" fontId="32" fillId="11" borderId="48" xfId="6" applyNumberFormat="1" applyFont="1" applyFill="1" applyBorder="1" applyAlignment="1">
      <alignment horizontal="left" vertical="top" wrapText="1"/>
    </xf>
    <xf numFmtId="171" fontId="32" fillId="11" borderId="29" xfId="6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/>
    </xf>
    <xf numFmtId="0" fontId="29" fillId="0" borderId="41" xfId="0" applyFont="1" applyBorder="1" applyAlignment="1">
      <alignment horizontal="center" wrapText="1"/>
    </xf>
    <xf numFmtId="4" fontId="32" fillId="0" borderId="41" xfId="0" applyNumberFormat="1" applyFont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 wrapText="1"/>
    </xf>
    <xf numFmtId="0" fontId="32" fillId="11" borderId="21" xfId="0" applyFont="1" applyFill="1" applyBorder="1" applyAlignment="1">
      <alignment horizontal="center" vertical="center" wrapText="1"/>
    </xf>
    <xf numFmtId="0" fontId="32" fillId="11" borderId="22" xfId="0" applyFont="1" applyFill="1" applyBorder="1" applyAlignment="1">
      <alignment horizontal="center" vertical="center" wrapText="1"/>
    </xf>
    <xf numFmtId="0" fontId="29" fillId="11" borderId="20" xfId="0" applyFont="1" applyFill="1" applyBorder="1" applyAlignment="1">
      <alignment horizontal="center" vertical="center"/>
    </xf>
    <xf numFmtId="0" fontId="29" fillId="11" borderId="21" xfId="0" applyFont="1" applyFill="1" applyBorder="1" applyAlignment="1">
      <alignment horizontal="center" vertical="center"/>
    </xf>
    <xf numFmtId="4" fontId="29" fillId="11" borderId="21" xfId="0" applyNumberFormat="1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49" fontId="32" fillId="0" borderId="23" xfId="5" applyNumberFormat="1" applyFont="1" applyFill="1" applyBorder="1" applyAlignment="1">
      <alignment horizontal="center" vertical="center"/>
    </xf>
    <xf numFmtId="4" fontId="36" fillId="0" borderId="18" xfId="0" applyNumberFormat="1" applyFont="1" applyFill="1" applyBorder="1" applyAlignment="1">
      <alignment horizontal="center" vertical="center"/>
    </xf>
    <xf numFmtId="171" fontId="34" fillId="0" borderId="18" xfId="5" applyNumberFormat="1" applyFont="1" applyFill="1" applyBorder="1" applyAlignment="1">
      <alignment vertical="center" wrapText="1"/>
    </xf>
    <xf numFmtId="4" fontId="31" fillId="0" borderId="39" xfId="0" applyNumberFormat="1" applyFont="1" applyFill="1" applyBorder="1" applyAlignment="1">
      <alignment horizontal="center" vertical="center" wrapText="1"/>
    </xf>
    <xf numFmtId="4" fontId="31" fillId="0" borderId="53" xfId="0" applyNumberFormat="1" applyFont="1" applyFill="1" applyBorder="1" applyAlignment="1">
      <alignment horizontal="center" vertical="center" wrapText="1"/>
    </xf>
    <xf numFmtId="4" fontId="31" fillId="0" borderId="32" xfId="0" applyNumberFormat="1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left" vertical="top" wrapText="1"/>
    </xf>
    <xf numFmtId="0" fontId="31" fillId="0" borderId="53" xfId="0" applyFont="1" applyFill="1" applyBorder="1" applyAlignment="1">
      <alignment horizontal="left" vertical="top" wrapText="1"/>
    </xf>
    <xf numFmtId="0" fontId="31" fillId="0" borderId="32" xfId="0" applyFont="1" applyFill="1" applyBorder="1" applyAlignment="1">
      <alignment horizontal="left" vertical="top" wrapText="1"/>
    </xf>
    <xf numFmtId="171" fontId="32" fillId="11" borderId="23" xfId="6" applyNumberFormat="1" applyFont="1" applyFill="1" applyBorder="1" applyAlignment="1">
      <alignment horizontal="left" vertical="center" wrapText="1"/>
    </xf>
    <xf numFmtId="171" fontId="32" fillId="11" borderId="18" xfId="6" applyNumberFormat="1" applyFont="1" applyFill="1" applyBorder="1" applyAlignment="1">
      <alignment horizontal="left" vertical="center" wrapText="1"/>
    </xf>
    <xf numFmtId="0" fontId="31" fillId="10" borderId="28" xfId="0" applyFont="1" applyFill="1" applyBorder="1" applyAlignment="1">
      <alignment horizontal="center" wrapText="1"/>
    </xf>
    <xf numFmtId="0" fontId="31" fillId="10" borderId="29" xfId="0" applyFont="1" applyFill="1" applyBorder="1" applyAlignment="1">
      <alignment horizontal="center" wrapText="1"/>
    </xf>
    <xf numFmtId="0" fontId="32" fillId="17" borderId="25" xfId="0" applyFont="1" applyFill="1" applyBorder="1" applyAlignment="1">
      <alignment horizontal="center"/>
    </xf>
    <xf numFmtId="0" fontId="32" fillId="17" borderId="26" xfId="0" applyFont="1" applyFill="1" applyBorder="1" applyAlignment="1">
      <alignment horizontal="center"/>
    </xf>
    <xf numFmtId="0" fontId="31" fillId="10" borderId="39" xfId="0" applyFont="1" applyFill="1" applyBorder="1" applyAlignment="1">
      <alignment horizontal="left" vertical="top" wrapText="1"/>
    </xf>
    <xf numFmtId="0" fontId="31" fillId="10" borderId="32" xfId="0" applyFont="1" applyFill="1" applyBorder="1" applyAlignment="1">
      <alignment horizontal="left" vertical="top" wrapText="1"/>
    </xf>
    <xf numFmtId="171" fontId="32" fillId="11" borderId="23" xfId="6" applyNumberFormat="1" applyFont="1" applyFill="1" applyBorder="1" applyAlignment="1">
      <alignment horizontal="left" vertical="top" wrapText="1"/>
    </xf>
    <xf numFmtId="171" fontId="32" fillId="11" borderId="18" xfId="6" applyNumberFormat="1" applyFont="1" applyFill="1" applyBorder="1" applyAlignment="1">
      <alignment horizontal="left" vertical="top" wrapText="1"/>
    </xf>
    <xf numFmtId="171" fontId="34" fillId="0" borderId="39" xfId="6" applyNumberFormat="1" applyFont="1" applyFill="1" applyBorder="1" applyAlignment="1">
      <alignment horizontal="left" vertical="center" wrapText="1"/>
    </xf>
    <xf numFmtId="171" fontId="34" fillId="0" borderId="32" xfId="6" applyNumberFormat="1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4" fontId="31" fillId="10" borderId="39" xfId="0" applyNumberFormat="1" applyFont="1" applyFill="1" applyBorder="1" applyAlignment="1">
      <alignment horizontal="center" vertical="center"/>
    </xf>
    <xf numFmtId="4" fontId="31" fillId="10" borderId="32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top" wrapText="1"/>
    </xf>
    <xf numFmtId="0" fontId="31" fillId="0" borderId="32" xfId="0" applyFont="1" applyFill="1" applyBorder="1" applyAlignment="1">
      <alignment horizontal="center" vertical="top" wrapText="1"/>
    </xf>
    <xf numFmtId="49" fontId="37" fillId="0" borderId="38" xfId="6" applyNumberFormat="1" applyFont="1" applyFill="1" applyBorder="1" applyAlignment="1">
      <alignment horizontal="center" vertical="center"/>
    </xf>
    <xf numFmtId="49" fontId="37" fillId="0" borderId="51" xfId="6" applyNumberFormat="1" applyFont="1" applyFill="1" applyBorder="1" applyAlignment="1">
      <alignment horizontal="center" vertical="center"/>
    </xf>
    <xf numFmtId="49" fontId="37" fillId="0" borderId="31" xfId="6" applyNumberFormat="1" applyFont="1" applyFill="1" applyBorder="1" applyAlignment="1">
      <alignment horizontal="center" vertical="center"/>
    </xf>
    <xf numFmtId="171" fontId="34" fillId="0" borderId="53" xfId="6" applyNumberFormat="1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171" fontId="32" fillId="11" borderId="48" xfId="6" applyNumberFormat="1" applyFont="1" applyFill="1" applyBorder="1" applyAlignment="1">
      <alignment horizontal="left" vertical="top"/>
    </xf>
    <xf numFmtId="171" fontId="32" fillId="11" borderId="29" xfId="6" applyNumberFormat="1" applyFont="1" applyFill="1" applyBorder="1" applyAlignment="1">
      <alignment horizontal="left" vertical="top"/>
    </xf>
    <xf numFmtId="171" fontId="34" fillId="0" borderId="18" xfId="6" applyNumberFormat="1" applyFont="1" applyFill="1" applyBorder="1" applyAlignment="1">
      <alignment horizontal="left" vertical="center" wrapText="1"/>
    </xf>
    <xf numFmtId="0" fontId="32" fillId="11" borderId="47" xfId="0" applyFont="1" applyFill="1" applyBorder="1" applyAlignment="1">
      <alignment horizontal="center" vertical="center" wrapText="1"/>
    </xf>
    <xf numFmtId="0" fontId="32" fillId="11" borderId="82" xfId="0" applyFont="1" applyFill="1" applyBorder="1" applyAlignment="1">
      <alignment horizontal="center" vertical="center" wrapText="1"/>
    </xf>
    <xf numFmtId="0" fontId="32" fillId="11" borderId="72" xfId="0" applyFont="1" applyFill="1" applyBorder="1" applyAlignment="1">
      <alignment horizontal="center" vertical="center" wrapText="1"/>
    </xf>
    <xf numFmtId="164" fontId="5" fillId="0" borderId="31" xfId="4" applyFont="1" applyFill="1" applyBorder="1" applyAlignment="1">
      <alignment vertical="top"/>
    </xf>
    <xf numFmtId="4" fontId="7" fillId="0" borderId="51" xfId="4" applyNumberFormat="1" applyFont="1" applyFill="1" applyBorder="1" applyAlignment="1">
      <alignment horizontal="right" vertical="top"/>
    </xf>
    <xf numFmtId="49" fontId="5" fillId="0" borderId="53" xfId="4" applyNumberFormat="1" applyFont="1" applyFill="1" applyBorder="1" applyAlignment="1">
      <alignment horizontal="center" vertical="top"/>
    </xf>
    <xf numFmtId="164" fontId="2" fillId="0" borderId="56" xfId="4" applyFont="1" applyFill="1" applyBorder="1" applyAlignment="1">
      <alignment vertical="top" wrapText="1"/>
    </xf>
    <xf numFmtId="4" fontId="2" fillId="0" borderId="0" xfId="4" applyNumberFormat="1" applyFont="1" applyFill="1" applyBorder="1" applyAlignment="1">
      <alignment horizontal="right" vertical="top"/>
    </xf>
    <xf numFmtId="4" fontId="2" fillId="0" borderId="56" xfId="4" applyNumberFormat="1" applyFont="1" applyFill="1" applyBorder="1" applyAlignment="1">
      <alignment horizontal="right" vertical="top"/>
    </xf>
    <xf numFmtId="49" fontId="27" fillId="0" borderId="32" xfId="0" applyNumberFormat="1" applyFont="1" applyBorder="1" applyAlignment="1">
      <alignment horizontal="left" vertical="center"/>
    </xf>
    <xf numFmtId="171" fontId="26" fillId="10" borderId="31" xfId="0" applyNumberFormat="1" applyFont="1" applyFill="1" applyBorder="1" applyAlignment="1">
      <alignment horizontal="left" vertical="center"/>
    </xf>
    <xf numFmtId="171" fontId="25" fillId="10" borderId="32" xfId="0" applyNumberFormat="1" applyFont="1" applyFill="1" applyBorder="1" applyAlignment="1">
      <alignment horizontal="left" vertical="center"/>
    </xf>
    <xf numFmtId="4" fontId="7" fillId="10" borderId="32" xfId="4" applyNumberFormat="1" applyFont="1" applyFill="1" applyBorder="1" applyAlignment="1">
      <alignment horizontal="right" vertical="top"/>
    </xf>
    <xf numFmtId="4" fontId="7" fillId="10" borderId="45" xfId="4" applyNumberFormat="1" applyFont="1" applyFill="1" applyBorder="1" applyAlignment="1">
      <alignment horizontal="right" vertical="top"/>
    </xf>
    <xf numFmtId="10" fontId="7" fillId="10" borderId="45" xfId="4" applyNumberFormat="1" applyFont="1" applyFill="1" applyBorder="1" applyAlignment="1">
      <alignment horizontal="right" vertical="top"/>
    </xf>
    <xf numFmtId="0" fontId="7" fillId="10" borderId="33" xfId="4" applyNumberFormat="1" applyFont="1" applyFill="1" applyBorder="1" applyAlignment="1">
      <alignment horizontal="right" vertical="top" wrapText="1"/>
    </xf>
    <xf numFmtId="49" fontId="5" fillId="4" borderId="7" xfId="4" applyNumberFormat="1" applyFont="1" applyFill="1" applyBorder="1" applyAlignment="1">
      <alignment horizontal="center" vertical="top"/>
    </xf>
    <xf numFmtId="164" fontId="4" fillId="4" borderId="17" xfId="4" applyFont="1" applyFill="1" applyBorder="1" applyAlignment="1">
      <alignment vertical="top" wrapText="1"/>
    </xf>
    <xf numFmtId="4" fontId="7" fillId="4" borderId="7" xfId="4" applyNumberFormat="1" applyFont="1" applyFill="1" applyBorder="1" applyAlignment="1">
      <alignment horizontal="right" vertical="top"/>
    </xf>
    <xf numFmtId="4" fontId="7" fillId="4" borderId="3" xfId="4" applyNumberFormat="1" applyFont="1" applyFill="1" applyBorder="1" applyAlignment="1">
      <alignment horizontal="right" vertical="top"/>
    </xf>
    <xf numFmtId="4" fontId="7" fillId="4" borderId="8" xfId="4" applyNumberFormat="1" applyFont="1" applyFill="1" applyBorder="1" applyAlignment="1">
      <alignment horizontal="right" vertical="top"/>
    </xf>
    <xf numFmtId="10" fontId="7" fillId="4" borderId="17" xfId="4" applyNumberFormat="1" applyFont="1" applyFill="1" applyBorder="1" applyAlignment="1">
      <alignment horizontal="right" vertical="top"/>
    </xf>
    <xf numFmtId="0" fontId="7" fillId="4" borderId="10" xfId="4" applyNumberFormat="1" applyFont="1" applyFill="1" applyBorder="1" applyAlignment="1">
      <alignment horizontal="right" vertical="top" wrapText="1"/>
    </xf>
    <xf numFmtId="49" fontId="41" fillId="0" borderId="21" xfId="0" applyNumberFormat="1" applyFont="1" applyBorder="1" applyAlignment="1">
      <alignment horizontal="left" vertical="center"/>
    </xf>
    <xf numFmtId="4" fontId="5" fillId="4" borderId="18" xfId="4" applyNumberFormat="1" applyFont="1" applyFill="1" applyBorder="1" applyAlignment="1">
      <alignment horizontal="right" vertical="top"/>
    </xf>
    <xf numFmtId="0" fontId="7" fillId="4" borderId="18" xfId="4" applyNumberFormat="1" applyFont="1" applyFill="1" applyBorder="1" applyAlignment="1">
      <alignment horizontal="right" vertical="top" wrapText="1"/>
    </xf>
    <xf numFmtId="4" fontId="8" fillId="4" borderId="18" xfId="4" applyNumberFormat="1" applyFont="1" applyFill="1" applyBorder="1" applyAlignment="1">
      <alignment horizontal="right" vertical="top"/>
    </xf>
    <xf numFmtId="164" fontId="5" fillId="4" borderId="51" xfId="4" applyFont="1" applyFill="1" applyBorder="1" applyAlignment="1">
      <alignment vertical="top"/>
    </xf>
    <xf numFmtId="171" fontId="27" fillId="0" borderId="18" xfId="0" applyNumberFormat="1" applyFont="1" applyBorder="1" applyAlignment="1">
      <alignment horizontal="left" vertical="center" wrapText="1"/>
    </xf>
    <xf numFmtId="171" fontId="27" fillId="0" borderId="26" xfId="0" applyNumberFormat="1" applyFont="1" applyBorder="1" applyAlignment="1">
      <alignment horizontal="left" vertical="center" wrapText="1"/>
    </xf>
    <xf numFmtId="49" fontId="41" fillId="0" borderId="32" xfId="0" applyNumberFormat="1" applyFont="1" applyBorder="1" applyAlignment="1">
      <alignment horizontal="left" vertical="center"/>
    </xf>
    <xf numFmtId="0" fontId="7" fillId="4" borderId="32" xfId="4" applyNumberFormat="1" applyFont="1" applyFill="1" applyBorder="1" applyAlignment="1">
      <alignment horizontal="right" vertical="top" wrapText="1"/>
    </xf>
    <xf numFmtId="164" fontId="5" fillId="4" borderId="2" xfId="4" applyFont="1" applyFill="1" applyBorder="1" applyAlignment="1">
      <alignment horizontal="center" vertical="top"/>
    </xf>
    <xf numFmtId="4" fontId="5" fillId="4" borderId="9" xfId="4" applyNumberFormat="1" applyFont="1" applyFill="1" applyBorder="1" applyAlignment="1">
      <alignment horizontal="right" vertical="top"/>
    </xf>
    <xf numFmtId="4" fontId="7" fillId="4" borderId="4" xfId="4" applyNumberFormat="1" applyFont="1" applyFill="1" applyBorder="1" applyAlignment="1">
      <alignment horizontal="right" vertical="top"/>
    </xf>
    <xf numFmtId="4" fontId="7" fillId="4" borderId="69" xfId="4" applyNumberFormat="1" applyFont="1" applyFill="1" applyBorder="1" applyAlignment="1">
      <alignment horizontal="right" vertical="top"/>
    </xf>
    <xf numFmtId="4" fontId="8" fillId="4" borderId="32" xfId="4" applyNumberFormat="1" applyFont="1" applyFill="1" applyBorder="1" applyAlignment="1">
      <alignment horizontal="right" vertical="top"/>
    </xf>
    <xf numFmtId="164" fontId="5" fillId="0" borderId="50" xfId="4" applyFont="1" applyFill="1" applyBorder="1" applyAlignment="1">
      <alignment vertical="top"/>
    </xf>
    <xf numFmtId="4" fontId="7" fillId="0" borderId="58" xfId="4" applyNumberFormat="1" applyFont="1" applyFill="1" applyBorder="1" applyAlignment="1">
      <alignment horizontal="right" vertical="top"/>
    </xf>
    <xf numFmtId="10" fontId="13" fillId="0" borderId="56" xfId="4" applyNumberFormat="1" applyFont="1" applyFill="1" applyBorder="1" applyAlignment="1">
      <alignment horizontal="right" vertical="top"/>
    </xf>
    <xf numFmtId="49" fontId="27" fillId="0" borderId="83" xfId="0" applyNumberFormat="1" applyFont="1" applyBorder="1" applyAlignment="1">
      <alignment horizontal="left" vertical="center"/>
    </xf>
    <xf numFmtId="171" fontId="41" fillId="18" borderId="85" xfId="0" applyNumberFormat="1" applyFont="1" applyFill="1" applyBorder="1" applyAlignment="1">
      <alignment horizontal="center" vertical="center" wrapText="1"/>
    </xf>
    <xf numFmtId="4" fontId="2" fillId="0" borderId="8" xfId="4" applyNumberFormat="1" applyFont="1" applyFill="1" applyBorder="1" applyAlignment="1">
      <alignment horizontal="right" vertical="top"/>
    </xf>
    <xf numFmtId="49" fontId="27" fillId="0" borderId="86" xfId="0" applyNumberFormat="1" applyFont="1" applyBorder="1" applyAlignment="1">
      <alignment horizontal="left" vertical="center"/>
    </xf>
    <xf numFmtId="4" fontId="5" fillId="0" borderId="8" xfId="4" applyNumberFormat="1" applyFont="1" applyFill="1" applyBorder="1" applyAlignment="1">
      <alignment horizontal="right" vertical="top"/>
    </xf>
    <xf numFmtId="49" fontId="41" fillId="18" borderId="2" xfId="0" applyNumberFormat="1" applyFont="1" applyFill="1" applyBorder="1" applyAlignment="1">
      <alignment horizontal="left" vertical="center"/>
    </xf>
    <xf numFmtId="4" fontId="7" fillId="0" borderId="66" xfId="4" applyNumberFormat="1" applyFont="1" applyFill="1" applyBorder="1" applyAlignment="1">
      <alignment horizontal="right" vertical="top"/>
    </xf>
    <xf numFmtId="171" fontId="42" fillId="18" borderId="2" xfId="0" applyNumberFormat="1" applyFont="1" applyFill="1" applyBorder="1" applyAlignment="1">
      <alignment horizontal="left" vertical="center" wrapText="1"/>
    </xf>
    <xf numFmtId="4" fontId="7" fillId="0" borderId="7" xfId="4" applyNumberFormat="1" applyFont="1" applyFill="1" applyBorder="1" applyAlignment="1">
      <alignment horizontal="right" vertical="top"/>
    </xf>
    <xf numFmtId="4" fontId="7" fillId="0" borderId="9" xfId="4" applyNumberFormat="1" applyFont="1" applyFill="1" applyBorder="1" applyAlignment="1">
      <alignment horizontal="right" vertical="top"/>
    </xf>
    <xf numFmtId="4" fontId="7" fillId="0" borderId="69" xfId="4" applyNumberFormat="1" applyFont="1" applyFill="1" applyBorder="1" applyAlignment="1">
      <alignment horizontal="right" vertical="top"/>
    </xf>
    <xf numFmtId="10" fontId="13" fillId="0" borderId="17" xfId="4" applyNumberFormat="1" applyFont="1" applyFill="1" applyBorder="1" applyAlignment="1">
      <alignment horizontal="right" vertical="top"/>
    </xf>
    <xf numFmtId="49" fontId="5" fillId="4" borderId="2" xfId="4" applyNumberFormat="1" applyFont="1" applyFill="1" applyBorder="1" applyAlignment="1">
      <alignment horizontal="center" vertical="top"/>
    </xf>
    <xf numFmtId="164" fontId="4" fillId="4" borderId="2" xfId="4" applyFont="1" applyFill="1" applyBorder="1" applyAlignment="1">
      <alignment vertical="top" wrapText="1"/>
    </xf>
    <xf numFmtId="171" fontId="25" fillId="0" borderId="84" xfId="0" applyNumberFormat="1" applyFont="1" applyBorder="1" applyAlignment="1">
      <alignment horizontal="left" vertical="center" wrapText="1"/>
    </xf>
    <xf numFmtId="171" fontId="25" fillId="0" borderId="87" xfId="0" applyNumberFormat="1" applyFont="1" applyBorder="1" applyAlignment="1">
      <alignment horizontal="center" vertical="center" wrapText="1"/>
    </xf>
    <xf numFmtId="171" fontId="25" fillId="0" borderId="88" xfId="0" applyNumberFormat="1" applyFont="1" applyBorder="1" applyAlignment="1">
      <alignment horizontal="center" vertical="center" wrapText="1"/>
    </xf>
    <xf numFmtId="171" fontId="25" fillId="0" borderId="89" xfId="0" applyNumberFormat="1" applyFont="1" applyBorder="1" applyAlignment="1">
      <alignment horizontal="center" vertical="center" wrapText="1"/>
    </xf>
    <xf numFmtId="4" fontId="2" fillId="0" borderId="71" xfId="4" applyNumberFormat="1" applyFont="1" applyFill="1" applyBorder="1" applyAlignment="1">
      <alignment horizontal="right" vertical="top"/>
    </xf>
    <xf numFmtId="0" fontId="7" fillId="0" borderId="33" xfId="4" applyNumberFormat="1" applyFont="1" applyFill="1" applyBorder="1" applyAlignment="1">
      <alignment horizontal="right" vertical="top" wrapText="1"/>
    </xf>
    <xf numFmtId="0" fontId="43" fillId="0" borderId="10" xfId="0" applyFont="1" applyBorder="1" applyAlignment="1">
      <alignment wrapText="1"/>
    </xf>
    <xf numFmtId="4" fontId="3" fillId="0" borderId="0" xfId="2" applyNumberFormat="1" applyFont="1" applyFill="1" applyBorder="1"/>
    <xf numFmtId="0" fontId="43" fillId="0" borderId="15" xfId="0" applyFont="1" applyBorder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wrapText="1"/>
    </xf>
    <xf numFmtId="0" fontId="43" fillId="0" borderId="6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26" fillId="10" borderId="36" xfId="4" applyNumberFormat="1" applyFont="1" applyFill="1" applyBorder="1" applyAlignment="1">
      <alignment horizontal="center" vertical="top" wrapText="1"/>
    </xf>
    <xf numFmtId="0" fontId="26" fillId="10" borderId="6" xfId="4" applyNumberFormat="1" applyFont="1" applyFill="1" applyBorder="1" applyAlignment="1">
      <alignment horizontal="center" vertical="top" wrapText="1"/>
    </xf>
    <xf numFmtId="0" fontId="26" fillId="10" borderId="16" xfId="4" applyNumberFormat="1" applyFont="1" applyFill="1" applyBorder="1" applyAlignment="1">
      <alignment horizontal="center" vertical="top" wrapText="1"/>
    </xf>
    <xf numFmtId="171" fontId="25" fillId="10" borderId="29" xfId="0" applyNumberFormat="1" applyFont="1" applyFill="1" applyBorder="1" applyAlignment="1">
      <alignment horizontal="left" vertical="center"/>
    </xf>
    <xf numFmtId="171" fontId="25" fillId="0" borderId="45" xfId="0" applyNumberFormat="1" applyFont="1" applyBorder="1" applyAlignment="1">
      <alignment horizontal="left" vertical="center" wrapText="1"/>
    </xf>
    <xf numFmtId="171" fontId="25" fillId="10" borderId="45" xfId="0" applyNumberFormat="1" applyFont="1" applyFill="1" applyBorder="1" applyAlignment="1">
      <alignment horizontal="left" vertical="center" wrapText="1"/>
    </xf>
    <xf numFmtId="171" fontId="25" fillId="10" borderId="28" xfId="0" applyNumberFormat="1" applyFont="1" applyFill="1" applyBorder="1" applyAlignment="1">
      <alignment horizontal="left" vertical="center" wrapText="1"/>
    </xf>
    <xf numFmtId="171" fontId="25" fillId="10" borderId="64" xfId="0" applyNumberFormat="1" applyFont="1" applyFill="1" applyBorder="1" applyAlignment="1">
      <alignment horizontal="left" vertical="center" wrapText="1"/>
    </xf>
    <xf numFmtId="4" fontId="5" fillId="4" borderId="29" xfId="4" applyNumberFormat="1" applyFont="1" applyFill="1" applyBorder="1" applyAlignment="1">
      <alignment horizontal="right" vertical="top"/>
    </xf>
    <xf numFmtId="171" fontId="26" fillId="0" borderId="47" xfId="0" applyNumberFormat="1" applyFont="1" applyBorder="1" applyAlignment="1">
      <alignment horizontal="center" vertical="center" wrapText="1"/>
    </xf>
    <xf numFmtId="171" fontId="26" fillId="10" borderId="20" xfId="0" applyNumberFormat="1" applyFont="1" applyFill="1" applyBorder="1" applyAlignment="1">
      <alignment horizontal="left" vertical="center"/>
    </xf>
    <xf numFmtId="171" fontId="25" fillId="10" borderId="21" xfId="0" applyNumberFormat="1" applyFont="1" applyFill="1" applyBorder="1" applyAlignment="1">
      <alignment horizontal="left" vertical="center"/>
    </xf>
    <xf numFmtId="171" fontId="25" fillId="10" borderId="22" xfId="0" applyNumberFormat="1" applyFont="1" applyFill="1" applyBorder="1" applyAlignment="1">
      <alignment horizontal="left" vertical="center"/>
    </xf>
    <xf numFmtId="171" fontId="25" fillId="0" borderId="48" xfId="0" applyNumberFormat="1" applyFont="1" applyBorder="1" applyAlignment="1">
      <alignment horizontal="center" vertical="center" wrapText="1"/>
    </xf>
    <xf numFmtId="171" fontId="25" fillId="10" borderId="34" xfId="0" applyNumberFormat="1" applyFont="1" applyFill="1" applyBorder="1" applyAlignment="1">
      <alignment horizontal="left" vertical="center"/>
    </xf>
    <xf numFmtId="171" fontId="26" fillId="10" borderId="50" xfId="0" applyNumberFormat="1" applyFont="1" applyFill="1" applyBorder="1" applyAlignment="1">
      <alignment horizontal="center" vertical="center" wrapText="1"/>
    </xf>
    <xf numFmtId="171" fontId="26" fillId="10" borderId="48" xfId="0" applyNumberFormat="1" applyFont="1" applyFill="1" applyBorder="1" applyAlignment="1">
      <alignment horizontal="center" vertical="center" wrapText="1"/>
    </xf>
    <xf numFmtId="171" fontId="25" fillId="10" borderId="24" xfId="0" applyNumberFormat="1" applyFont="1" applyFill="1" applyBorder="1" applyAlignment="1">
      <alignment horizontal="left" vertical="center"/>
    </xf>
    <xf numFmtId="171" fontId="25" fillId="10" borderId="48" xfId="0" applyNumberFormat="1" applyFont="1" applyFill="1" applyBorder="1" applyAlignment="1">
      <alignment horizontal="center" vertical="center" wrapText="1"/>
    </xf>
    <xf numFmtId="171" fontId="25" fillId="10" borderId="23" xfId="0" applyNumberFormat="1" applyFont="1" applyFill="1" applyBorder="1" applyAlignment="1">
      <alignment horizontal="center" vertical="center" wrapText="1"/>
    </xf>
    <xf numFmtId="171" fontId="26" fillId="10" borderId="43" xfId="0" applyNumberFormat="1" applyFont="1" applyFill="1" applyBorder="1" applyAlignment="1">
      <alignment horizontal="center" vertical="center" wrapText="1"/>
    </xf>
    <xf numFmtId="171" fontId="25" fillId="10" borderId="25" xfId="0" applyNumberFormat="1" applyFont="1" applyFill="1" applyBorder="1" applyAlignment="1">
      <alignment horizontal="left" vertical="center"/>
    </xf>
    <xf numFmtId="171" fontId="26" fillId="10" borderId="26" xfId="0" applyNumberFormat="1" applyFont="1" applyFill="1" applyBorder="1" applyAlignment="1">
      <alignment horizontal="left" vertical="center"/>
    </xf>
    <xf numFmtId="171" fontId="25" fillId="10" borderId="27" xfId="0" applyNumberFormat="1" applyFont="1" applyFill="1" applyBorder="1" applyAlignment="1">
      <alignment horizontal="left" vertical="center"/>
    </xf>
    <xf numFmtId="4" fontId="5" fillId="4" borderId="23" xfId="4" applyNumberFormat="1" applyFont="1" applyFill="1" applyBorder="1" applyAlignment="1">
      <alignment horizontal="right" vertical="top"/>
    </xf>
    <xf numFmtId="4" fontId="5" fillId="4" borderId="24" xfId="4" applyNumberFormat="1" applyFont="1" applyFill="1" applyBorder="1" applyAlignment="1">
      <alignment horizontal="right" vertical="top"/>
    </xf>
    <xf numFmtId="171" fontId="25" fillId="10" borderId="31" xfId="0" applyNumberFormat="1" applyFont="1" applyFill="1" applyBorder="1" applyAlignment="1">
      <alignment horizontal="left" vertical="center"/>
    </xf>
    <xf numFmtId="171" fontId="25" fillId="10" borderId="26" xfId="0" applyNumberFormat="1" applyFont="1" applyFill="1" applyBorder="1" applyAlignment="1">
      <alignment horizontal="left" vertical="center"/>
    </xf>
    <xf numFmtId="4" fontId="5" fillId="10" borderId="35" xfId="4" applyNumberFormat="1" applyFont="1" applyFill="1" applyBorder="1" applyAlignment="1">
      <alignment horizontal="right" vertical="top"/>
    </xf>
    <xf numFmtId="171" fontId="25" fillId="10" borderId="20" xfId="0" applyNumberFormat="1" applyFont="1" applyFill="1" applyBorder="1" applyAlignment="1">
      <alignment horizontal="left" vertical="center"/>
    </xf>
    <xf numFmtId="4" fontId="7" fillId="10" borderId="39" xfId="4" applyNumberFormat="1" applyFont="1" applyFill="1" applyBorder="1" applyAlignment="1">
      <alignment horizontal="right" vertical="top"/>
    </xf>
    <xf numFmtId="4" fontId="7" fillId="10" borderId="42" xfId="4" applyNumberFormat="1" applyFont="1" applyFill="1" applyBorder="1" applyAlignment="1">
      <alignment horizontal="right" vertical="top"/>
    </xf>
    <xf numFmtId="4" fontId="5" fillId="10" borderId="44" xfId="4" applyNumberFormat="1" applyFont="1" applyFill="1" applyBorder="1" applyAlignment="1">
      <alignment horizontal="right" vertical="top"/>
    </xf>
    <xf numFmtId="4" fontId="5" fillId="10" borderId="19" xfId="4" applyNumberFormat="1" applyFont="1" applyFill="1" applyBorder="1" applyAlignment="1">
      <alignment horizontal="right" vertical="top"/>
    </xf>
    <xf numFmtId="4" fontId="5" fillId="10" borderId="13" xfId="4" applyNumberFormat="1" applyFont="1" applyFill="1" applyBorder="1" applyAlignment="1">
      <alignment horizontal="right" vertical="top"/>
    </xf>
    <xf numFmtId="4" fontId="5" fillId="10" borderId="0" xfId="4" applyNumberFormat="1" applyFont="1" applyFill="1" applyBorder="1" applyAlignment="1">
      <alignment horizontal="right" vertical="top"/>
    </xf>
    <xf numFmtId="4" fontId="5" fillId="10" borderId="56" xfId="4" applyNumberFormat="1" applyFont="1" applyFill="1" applyBorder="1" applyAlignment="1">
      <alignment horizontal="right" vertical="top"/>
    </xf>
    <xf numFmtId="0" fontId="44" fillId="10" borderId="15" xfId="4" applyNumberFormat="1" applyFont="1" applyFill="1" applyBorder="1" applyAlignment="1">
      <alignment horizontal="center" vertical="top" wrapText="1"/>
    </xf>
    <xf numFmtId="4" fontId="5" fillId="10" borderId="23" xfId="4" applyNumberFormat="1" applyFont="1" applyFill="1" applyBorder="1" applyAlignment="1">
      <alignment horizontal="right" vertical="top"/>
    </xf>
    <xf numFmtId="4" fontId="5" fillId="10" borderId="18" xfId="4" applyNumberFormat="1" applyFont="1" applyFill="1" applyBorder="1" applyAlignment="1">
      <alignment horizontal="right" vertical="top"/>
    </xf>
    <xf numFmtId="4" fontId="5" fillId="10" borderId="24" xfId="4" applyNumberFormat="1" applyFont="1" applyFill="1" applyBorder="1" applyAlignment="1">
      <alignment horizontal="right" vertical="top"/>
    </xf>
    <xf numFmtId="4" fontId="5" fillId="10" borderId="29" xfId="4" applyNumberFormat="1" applyFont="1" applyFill="1" applyBorder="1" applyAlignment="1">
      <alignment horizontal="right" vertical="top"/>
    </xf>
    <xf numFmtId="0" fontId="44" fillId="10" borderId="16" xfId="4" applyNumberFormat="1" applyFont="1" applyFill="1" applyBorder="1" applyAlignment="1">
      <alignment horizontal="center" vertical="top" wrapText="1"/>
    </xf>
    <xf numFmtId="171" fontId="25" fillId="0" borderId="60" xfId="0" applyNumberFormat="1" applyFont="1" applyBorder="1" applyAlignment="1">
      <alignment horizontal="left" vertical="center" wrapText="1"/>
    </xf>
    <xf numFmtId="4" fontId="5" fillId="4" borderId="69" xfId="4" applyNumberFormat="1" applyFont="1" applyFill="1" applyBorder="1" applyAlignment="1">
      <alignment horizontal="right" vertical="top"/>
    </xf>
    <xf numFmtId="4" fontId="8" fillId="4" borderId="29" xfId="4" applyNumberFormat="1" applyFont="1" applyFill="1" applyBorder="1" applyAlignment="1">
      <alignment horizontal="right" vertical="top"/>
    </xf>
    <xf numFmtId="171" fontId="25" fillId="0" borderId="50" xfId="0" applyNumberFormat="1" applyFont="1" applyBorder="1" applyAlignment="1">
      <alignment horizontal="center" vertical="center" wrapText="1"/>
    </xf>
    <xf numFmtId="4" fontId="8" fillId="4" borderId="34" xfId="4" applyNumberFormat="1" applyFont="1" applyFill="1" applyBorder="1" applyAlignment="1">
      <alignment horizontal="right" vertical="top"/>
    </xf>
    <xf numFmtId="171" fontId="25" fillId="0" borderId="49" xfId="0" applyNumberFormat="1" applyFont="1" applyBorder="1" applyAlignment="1">
      <alignment horizontal="center" vertical="center" wrapText="1"/>
    </xf>
    <xf numFmtId="4" fontId="8" fillId="4" borderId="71" xfId="4" applyNumberFormat="1" applyFont="1" applyFill="1" applyBorder="1" applyAlignment="1">
      <alignment horizontal="right" vertical="top"/>
    </xf>
    <xf numFmtId="4" fontId="8" fillId="4" borderId="12" xfId="4" applyNumberFormat="1" applyFont="1" applyFill="1" applyBorder="1" applyAlignment="1">
      <alignment horizontal="right" vertical="top"/>
    </xf>
    <xf numFmtId="4" fontId="8" fillId="4" borderId="14" xfId="4" applyNumberFormat="1" applyFont="1" applyFill="1" applyBorder="1" applyAlignment="1">
      <alignment horizontal="right" vertical="top"/>
    </xf>
    <xf numFmtId="4" fontId="8" fillId="4" borderId="13" xfId="4" applyNumberFormat="1" applyFont="1" applyFill="1" applyBorder="1" applyAlignment="1">
      <alignment horizontal="right" vertical="top"/>
    </xf>
    <xf numFmtId="4" fontId="8" fillId="4" borderId="23" xfId="4" applyNumberFormat="1" applyFont="1" applyFill="1" applyBorder="1" applyAlignment="1">
      <alignment horizontal="right" vertical="top"/>
    </xf>
    <xf numFmtId="4" fontId="8" fillId="4" borderId="24" xfId="4" applyNumberFormat="1" applyFont="1" applyFill="1" applyBorder="1" applyAlignment="1">
      <alignment horizontal="right" vertical="top"/>
    </xf>
    <xf numFmtId="4" fontId="8" fillId="4" borderId="22" xfId="4" applyNumberFormat="1" applyFont="1" applyFill="1" applyBorder="1" applyAlignment="1">
      <alignment horizontal="right" vertical="top"/>
    </xf>
    <xf numFmtId="4" fontId="8" fillId="4" borderId="27" xfId="4" applyNumberFormat="1" applyFont="1" applyFill="1" applyBorder="1" applyAlignment="1">
      <alignment horizontal="right" vertical="top"/>
    </xf>
    <xf numFmtId="0" fontId="5" fillId="8" borderId="16" xfId="4" applyNumberFormat="1" applyFont="1" applyFill="1" applyBorder="1" applyAlignment="1">
      <alignment horizontal="right" vertical="top" wrapText="1"/>
    </xf>
    <xf numFmtId="0" fontId="45" fillId="4" borderId="18" xfId="4" applyNumberFormat="1" applyFont="1" applyFill="1" applyBorder="1" applyAlignment="1">
      <alignment horizontal="center" vertical="top" wrapText="1"/>
    </xf>
  </cellXfs>
  <cellStyles count="7">
    <cellStyle name="Currency 3" xfId="3"/>
    <cellStyle name="Normal 2" xfId="2"/>
    <cellStyle name="Денежный" xfId="1" builtinId="4"/>
    <cellStyle name="Обычный" xfId="0" builtinId="0"/>
    <cellStyle name="Обычный 2" xfId="6"/>
    <cellStyle name="Обычный 3" xfId="5"/>
    <cellStyle name="Финансовый" xfId="4" builtinId="3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671079</xdr:colOff>
      <xdr:row>1</xdr:row>
      <xdr:rowOff>13854</xdr:rowOff>
    </xdr:from>
    <xdr:to>
      <xdr:col>2</xdr:col>
      <xdr:colOff>540037</xdr:colOff>
      <xdr:row>8</xdr:row>
      <xdr:rowOff>155863</xdr:rowOff>
    </xdr:to>
    <xdr:pic>
      <xdr:nvPicPr>
        <xdr:cNvPr id="2" name="Picture 4" descr="Mac SSD:Users:andrew:Desktop:logo.png">
          <a:extLst>
            <a:ext uri="{FF2B5EF4-FFF2-40B4-BE49-F238E27FC236}">
              <a16:creationId xmlns="" xmlns:a16="http://schemas.microsoft.com/office/drawing/2014/main" id="{459ABA24-CA76-4B00-9CEB-375AE6D94C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079" y="204354"/>
          <a:ext cx="1999094" cy="1527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styat\AppData\Local\Microsoft\Windows\INetCache\Content.Outlook\26VIMLJW\&#1056;&#1054;&#1041;&#1054;&#1063;&#1030;%20&#1044;&#1054;&#1050;&#1059;&#1052;&#1045;&#1053;&#1058;&#104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58;&#1040;\&#1059;&#1050;&#1060;\&#1044;&#1054;&#1050;&#1059;&#1052;&#1045;&#1053;&#1058;&#1048;\&#1057;&#1054;&#1058;&#1056;&#1059;&#1044;&#1053;&#1048;&#1050;&#1048;\&#1056;&#1072;&#1089;&#1095;&#1077;&#1090;&#1085;&#1086;-&#1087;&#1083;&#1072;&#1090;&#1077;&#1078;&#1085;&#1072;&#1103;%20&#1080;&#1102;&#1083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Кошторис  витрат_перв"/>
      <sheetName val="Кошторис_зкоригований"/>
      <sheetName val="план_факт"/>
      <sheetName val="Контрагенти"/>
      <sheetName val="Реєстр_грант"/>
      <sheetName val="Реєстр_софинанс"/>
    </sheetNames>
    <sheetDataSet>
      <sheetData sheetId="0"/>
      <sheetData sheetId="1"/>
      <sheetData sheetId="2">
        <row r="12">
          <cell r="H12">
            <v>47000</v>
          </cell>
        </row>
        <row r="13">
          <cell r="H13">
            <v>45000</v>
          </cell>
        </row>
        <row r="17">
          <cell r="K17">
            <v>8050</v>
          </cell>
        </row>
        <row r="18">
          <cell r="K18">
            <v>8050</v>
          </cell>
        </row>
        <row r="19">
          <cell r="K19">
            <v>8050</v>
          </cell>
        </row>
        <row r="24">
          <cell r="H24">
            <v>29520</v>
          </cell>
        </row>
        <row r="25">
          <cell r="H25">
            <v>29520</v>
          </cell>
        </row>
        <row r="26">
          <cell r="K26">
            <v>119500</v>
          </cell>
        </row>
        <row r="30">
          <cell r="H30">
            <v>10340</v>
          </cell>
        </row>
        <row r="31">
          <cell r="H31">
            <v>9900</v>
          </cell>
        </row>
        <row r="32">
          <cell r="K32">
            <v>26290</v>
          </cell>
        </row>
        <row r="51">
          <cell r="H51">
            <v>170000</v>
          </cell>
        </row>
        <row r="53">
          <cell r="H53">
            <v>45000</v>
          </cell>
          <cell r="K53">
            <v>20000</v>
          </cell>
        </row>
        <row r="66">
          <cell r="H66">
            <v>60000</v>
          </cell>
          <cell r="K66">
            <v>40000</v>
          </cell>
        </row>
        <row r="74">
          <cell r="H74">
            <v>13000</v>
          </cell>
          <cell r="K74">
            <v>8000</v>
          </cell>
        </row>
        <row r="77">
          <cell r="H77">
            <v>141825</v>
          </cell>
        </row>
        <row r="78">
          <cell r="H78">
            <v>46000</v>
          </cell>
        </row>
        <row r="79">
          <cell r="H79">
            <v>5600</v>
          </cell>
        </row>
        <row r="80">
          <cell r="H80">
            <v>8000</v>
          </cell>
        </row>
        <row r="81">
          <cell r="H81">
            <v>1620</v>
          </cell>
        </row>
        <row r="82">
          <cell r="H82">
            <v>3000</v>
          </cell>
        </row>
        <row r="85">
          <cell r="H85">
            <v>50000</v>
          </cell>
          <cell r="K85">
            <v>40000</v>
          </cell>
        </row>
        <row r="91">
          <cell r="H91">
            <v>3000</v>
          </cell>
        </row>
        <row r="92">
          <cell r="H92">
            <v>7500</v>
          </cell>
        </row>
        <row r="93">
          <cell r="H93">
            <v>9000</v>
          </cell>
        </row>
        <row r="94">
          <cell r="H94">
            <v>15300</v>
          </cell>
        </row>
        <row r="97">
          <cell r="H97">
            <v>50820</v>
          </cell>
        </row>
        <row r="98">
          <cell r="H98">
            <v>44000</v>
          </cell>
        </row>
        <row r="99">
          <cell r="H99">
            <v>30000</v>
          </cell>
        </row>
        <row r="103">
          <cell r="H103">
            <v>63000</v>
          </cell>
          <cell r="K103">
            <v>14000</v>
          </cell>
        </row>
        <row r="109">
          <cell r="K109">
            <v>5000</v>
          </cell>
        </row>
        <row r="110">
          <cell r="K110">
            <v>28800</v>
          </cell>
        </row>
        <row r="111">
          <cell r="K111">
            <v>28800</v>
          </cell>
        </row>
        <row r="112">
          <cell r="K112">
            <v>35000</v>
          </cell>
        </row>
        <row r="113">
          <cell r="H113">
            <v>20000</v>
          </cell>
        </row>
        <row r="114">
          <cell r="K114">
            <v>40000</v>
          </cell>
        </row>
        <row r="115">
          <cell r="K115">
            <v>24000</v>
          </cell>
        </row>
        <row r="116">
          <cell r="K116">
            <v>25000</v>
          </cell>
        </row>
        <row r="117">
          <cell r="K117">
            <v>30000</v>
          </cell>
        </row>
        <row r="118">
          <cell r="H118">
            <v>55000</v>
          </cell>
          <cell r="K118">
            <v>30000</v>
          </cell>
        </row>
        <row r="119">
          <cell r="H119">
            <v>52000</v>
          </cell>
          <cell r="K119">
            <v>20000</v>
          </cell>
        </row>
      </sheetData>
      <sheetData sheetId="3"/>
      <sheetData sheetId="4">
        <row r="3">
          <cell r="I3">
            <v>8937.89</v>
          </cell>
        </row>
        <row r="4">
          <cell r="I4">
            <v>8937.89</v>
          </cell>
        </row>
        <row r="5">
          <cell r="I5">
            <v>8937.89</v>
          </cell>
        </row>
        <row r="9">
          <cell r="H9">
            <v>29520</v>
          </cell>
        </row>
        <row r="16">
          <cell r="K16">
            <v>20100</v>
          </cell>
        </row>
        <row r="17">
          <cell r="I17">
            <v>27000</v>
          </cell>
        </row>
        <row r="18">
          <cell r="I18">
            <v>35700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3">
          <cell r="U23">
            <v>156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7"/>
  <sheetViews>
    <sheetView tabSelected="1" zoomScale="80" zoomScaleNormal="80" workbookViewId="0">
      <selection activeCell="Q21" sqref="Q21"/>
    </sheetView>
  </sheetViews>
  <sheetFormatPr defaultRowHeight="15" x14ac:dyDescent="0.25"/>
  <cols>
    <col min="1" max="1" width="16.28515625" customWidth="1"/>
    <col min="2" max="3" width="15.7109375" customWidth="1"/>
    <col min="4" max="9" width="15.7109375" style="270" customWidth="1"/>
    <col min="10" max="10" width="15.7109375" style="123" customWidth="1"/>
    <col min="11" max="11" width="15.7109375" style="270" customWidth="1"/>
    <col min="12" max="12" width="15.7109375" style="123" customWidth="1"/>
    <col min="13" max="13" width="15.7109375" style="270" customWidth="1"/>
    <col min="14" max="14" width="15.7109375" style="123" customWidth="1"/>
    <col min="15" max="15" width="15.7109375" style="270" customWidth="1"/>
    <col min="16" max="16" width="15.7109375" style="123" customWidth="1"/>
  </cols>
  <sheetData>
    <row r="1" spans="1:16" x14ac:dyDescent="0.25">
      <c r="B1" s="13"/>
      <c r="K1" s="312" t="s">
        <v>152</v>
      </c>
    </row>
    <row r="2" spans="1:16" x14ac:dyDescent="0.25">
      <c r="K2" s="313" t="s">
        <v>501</v>
      </c>
      <c r="L2" s="309"/>
    </row>
    <row r="3" spans="1:16" s="16" customFormat="1" ht="15.75" x14ac:dyDescent="0.25">
      <c r="D3" s="271"/>
      <c r="E3" s="271"/>
      <c r="F3" s="271"/>
      <c r="G3" s="271"/>
      <c r="H3" s="271"/>
      <c r="I3" s="271"/>
      <c r="J3" s="267"/>
      <c r="K3" s="314" t="s">
        <v>215</v>
      </c>
      <c r="L3" s="267"/>
      <c r="M3" s="272"/>
      <c r="N3" s="269"/>
      <c r="O3" s="272"/>
      <c r="P3" s="267"/>
    </row>
    <row r="4" spans="1:16" s="16" customFormat="1" ht="15.75" x14ac:dyDescent="0.25">
      <c r="D4" s="271"/>
      <c r="E4" s="271"/>
      <c r="F4" s="271"/>
      <c r="G4" s="271"/>
      <c r="H4" s="271"/>
      <c r="I4" s="271"/>
      <c r="J4" s="267"/>
      <c r="L4" s="268"/>
      <c r="M4" s="273"/>
      <c r="N4" s="268"/>
      <c r="O4" s="272"/>
      <c r="P4" s="267"/>
    </row>
    <row r="5" spans="1:16" s="370" customFormat="1" ht="15.75" customHeight="1" x14ac:dyDescent="0.25">
      <c r="B5" s="371"/>
      <c r="D5" s="371" t="s">
        <v>216</v>
      </c>
      <c r="L5" s="372"/>
      <c r="M5" s="372"/>
      <c r="N5" s="373"/>
    </row>
    <row r="6" spans="1:16" s="370" customFormat="1" ht="15.75" x14ac:dyDescent="0.25">
      <c r="B6" s="371"/>
      <c r="D6" s="371" t="s">
        <v>214</v>
      </c>
      <c r="E6" s="374"/>
      <c r="F6" s="374"/>
      <c r="G6" s="374"/>
      <c r="H6" s="374"/>
      <c r="I6" s="374"/>
      <c r="J6" s="375"/>
      <c r="L6" s="376"/>
      <c r="M6" s="376"/>
      <c r="N6" s="373"/>
    </row>
    <row r="7" spans="1:16" s="370" customFormat="1" ht="15.75" x14ac:dyDescent="0.25">
      <c r="D7" s="371" t="s">
        <v>159</v>
      </c>
      <c r="E7" s="371"/>
      <c r="F7" s="371"/>
      <c r="G7" s="371"/>
      <c r="H7" s="371"/>
      <c r="I7" s="371"/>
      <c r="J7" s="375"/>
      <c r="L7" s="377"/>
      <c r="M7" s="377"/>
      <c r="N7" s="373"/>
    </row>
    <row r="8" spans="1:16" s="370" customFormat="1" ht="15.75" x14ac:dyDescent="0.25">
      <c r="D8" s="371" t="s">
        <v>160</v>
      </c>
      <c r="E8" s="371"/>
      <c r="F8" s="371"/>
      <c r="G8" s="371"/>
      <c r="H8" s="371"/>
      <c r="I8" s="371"/>
      <c r="J8" s="375"/>
      <c r="L8" s="373"/>
      <c r="M8" s="373"/>
      <c r="N8" s="373"/>
    </row>
    <row r="9" spans="1:16" s="16" customFormat="1" ht="15.75" x14ac:dyDescent="0.25">
      <c r="D9" s="273"/>
      <c r="E9" s="273"/>
      <c r="F9" s="273"/>
      <c r="G9" s="273"/>
      <c r="H9" s="273"/>
      <c r="I9" s="273"/>
      <c r="J9" s="268"/>
      <c r="K9" s="273"/>
      <c r="L9" s="268"/>
      <c r="M9" s="273"/>
      <c r="N9" s="268"/>
      <c r="O9" s="272"/>
      <c r="P9" s="267"/>
    </row>
    <row r="10" spans="1:16" s="16" customFormat="1" ht="15.75" x14ac:dyDescent="0.25">
      <c r="D10" s="273"/>
      <c r="E10" s="273"/>
      <c r="F10" s="273"/>
      <c r="G10" s="273"/>
      <c r="H10" s="273"/>
      <c r="I10" s="273"/>
      <c r="J10" s="268"/>
      <c r="K10" s="273"/>
      <c r="L10" s="268"/>
      <c r="M10" s="273"/>
      <c r="N10" s="268"/>
      <c r="O10" s="272"/>
      <c r="P10" s="267"/>
    </row>
    <row r="11" spans="1:16" s="16" customFormat="1" ht="15.75" x14ac:dyDescent="0.25">
      <c r="B11" s="661" t="s">
        <v>150</v>
      </c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272"/>
      <c r="P11" s="267"/>
    </row>
    <row r="12" spans="1:16" s="16" customFormat="1" ht="15.75" x14ac:dyDescent="0.25">
      <c r="B12" s="661" t="s">
        <v>149</v>
      </c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272"/>
      <c r="P12" s="267"/>
    </row>
    <row r="13" spans="1:16" s="16" customFormat="1" ht="15.75" x14ac:dyDescent="0.25">
      <c r="B13" s="662" t="s">
        <v>217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272"/>
      <c r="P13" s="267"/>
    </row>
    <row r="14" spans="1:16" s="16" customFormat="1" ht="15.75" x14ac:dyDescent="0.25">
      <c r="B14" s="14"/>
      <c r="C14" s="15"/>
      <c r="D14" s="273"/>
      <c r="E14" s="273"/>
      <c r="F14" s="273"/>
      <c r="G14" s="273"/>
      <c r="H14" s="273"/>
      <c r="I14" s="273"/>
      <c r="J14" s="268"/>
      <c r="K14" s="273"/>
      <c r="L14" s="268"/>
      <c r="M14" s="273"/>
      <c r="N14" s="268"/>
      <c r="O14" s="272"/>
      <c r="P14" s="267"/>
    </row>
    <row r="15" spans="1:16" ht="15.75" thickBot="1" x14ac:dyDescent="0.3"/>
    <row r="16" spans="1:16" s="266" customFormat="1" ht="30" customHeight="1" x14ac:dyDescent="0.25">
      <c r="A16" s="663"/>
      <c r="B16" s="669" t="s">
        <v>131</v>
      </c>
      <c r="C16" s="670"/>
      <c r="D16" s="666" t="s">
        <v>137</v>
      </c>
      <c r="E16" s="667"/>
      <c r="F16" s="667"/>
      <c r="G16" s="667"/>
      <c r="H16" s="667"/>
      <c r="I16" s="667"/>
      <c r="J16" s="668"/>
      <c r="K16" s="673" t="s">
        <v>138</v>
      </c>
      <c r="L16" s="670"/>
      <c r="M16" s="673" t="s">
        <v>132</v>
      </c>
      <c r="N16" s="670"/>
    </row>
    <row r="17" spans="1:16" ht="51" customHeight="1" x14ac:dyDescent="0.25">
      <c r="A17" s="664"/>
      <c r="B17" s="671"/>
      <c r="C17" s="672"/>
      <c r="D17" s="279" t="s">
        <v>62</v>
      </c>
      <c r="E17" s="276" t="s">
        <v>23</v>
      </c>
      <c r="F17" s="276" t="s">
        <v>24</v>
      </c>
      <c r="G17" s="276" t="s">
        <v>25</v>
      </c>
      <c r="H17" s="276" t="s">
        <v>26</v>
      </c>
      <c r="I17" s="675" t="s">
        <v>134</v>
      </c>
      <c r="J17" s="676"/>
      <c r="K17" s="674"/>
      <c r="L17" s="672"/>
      <c r="M17" s="674"/>
      <c r="N17" s="672"/>
      <c r="O17"/>
      <c r="P17"/>
    </row>
    <row r="18" spans="1:16" s="275" customFormat="1" ht="47.25" customHeight="1" x14ac:dyDescent="0.25">
      <c r="A18" s="665"/>
      <c r="B18" s="277" t="s">
        <v>71</v>
      </c>
      <c r="C18" s="278" t="s">
        <v>133</v>
      </c>
      <c r="D18" s="277" t="s">
        <v>133</v>
      </c>
      <c r="E18" s="274" t="s">
        <v>133</v>
      </c>
      <c r="F18" s="274" t="s">
        <v>133</v>
      </c>
      <c r="G18" s="274" t="s">
        <v>133</v>
      </c>
      <c r="H18" s="274" t="s">
        <v>133</v>
      </c>
      <c r="I18" s="274" t="s">
        <v>71</v>
      </c>
      <c r="J18" s="305" t="s">
        <v>142</v>
      </c>
      <c r="K18" s="277" t="s">
        <v>71</v>
      </c>
      <c r="L18" s="278" t="s">
        <v>133</v>
      </c>
      <c r="M18" s="280" t="s">
        <v>71</v>
      </c>
      <c r="N18" s="281" t="s">
        <v>133</v>
      </c>
    </row>
    <row r="19" spans="1:16" s="302" customFormat="1" ht="15" customHeight="1" thickBot="1" x14ac:dyDescent="0.3">
      <c r="A19" s="297" t="s">
        <v>140</v>
      </c>
      <c r="B19" s="298" t="s">
        <v>141</v>
      </c>
      <c r="C19" s="299" t="s">
        <v>139</v>
      </c>
      <c r="D19" s="300" t="s">
        <v>115</v>
      </c>
      <c r="E19" s="301" t="s">
        <v>116</v>
      </c>
      <c r="F19" s="301" t="s">
        <v>117</v>
      </c>
      <c r="G19" s="301" t="s">
        <v>119</v>
      </c>
      <c r="H19" s="301" t="s">
        <v>120</v>
      </c>
      <c r="I19" s="301" t="s">
        <v>59</v>
      </c>
      <c r="J19" s="299" t="s">
        <v>123</v>
      </c>
      <c r="K19" s="300" t="s">
        <v>60</v>
      </c>
      <c r="L19" s="299" t="s">
        <v>55</v>
      </c>
      <c r="M19" s="303" t="s">
        <v>61</v>
      </c>
      <c r="N19" s="304" t="s">
        <v>56</v>
      </c>
    </row>
    <row r="20" spans="1:16" s="275" customFormat="1" ht="39.75" customHeight="1" thickBot="1" x14ac:dyDescent="0.3">
      <c r="A20" s="294" t="s">
        <v>143</v>
      </c>
      <c r="B20" s="291"/>
      <c r="C20" s="283">
        <v>1166270.19</v>
      </c>
      <c r="D20" s="295"/>
      <c r="E20" s="296"/>
      <c r="F20" s="296"/>
      <c r="G20" s="296"/>
      <c r="H20" s="296">
        <v>586920</v>
      </c>
      <c r="I20" s="284"/>
      <c r="J20" s="283">
        <f>D20+E20+F20+G20+H20</f>
        <v>586920</v>
      </c>
      <c r="K20" s="282"/>
      <c r="L20" s="283"/>
      <c r="M20" s="285">
        <v>1</v>
      </c>
      <c r="N20" s="286">
        <f>C20+J20+L20</f>
        <v>1753190.19</v>
      </c>
    </row>
    <row r="21" spans="1:16" s="275" customFormat="1" ht="45" customHeight="1" thickBot="1" x14ac:dyDescent="0.3">
      <c r="A21" s="292" t="s">
        <v>144</v>
      </c>
      <c r="B21" s="291"/>
      <c r="C21" s="283">
        <f>Витрати!J98</f>
        <v>1141918.6499999999</v>
      </c>
      <c r="D21" s="295"/>
      <c r="E21" s="296"/>
      <c r="F21" s="296"/>
      <c r="G21" s="296"/>
      <c r="H21" s="296">
        <f>Витрати!P98</f>
        <v>571261.42999999993</v>
      </c>
      <c r="I21" s="284"/>
      <c r="J21" s="283">
        <f t="shared" ref="J21" si="0">D21+E21+F21+G21+H21</f>
        <v>571261.42999999993</v>
      </c>
      <c r="K21" s="282"/>
      <c r="L21" s="283"/>
      <c r="M21" s="285">
        <f>N21/N20</f>
        <v>0.97717868247939488</v>
      </c>
      <c r="N21" s="286">
        <f>C21+J21+L21</f>
        <v>1713180.0799999998</v>
      </c>
    </row>
    <row r="22" spans="1:16" s="275" customFormat="1" ht="48.75" customHeight="1" thickBot="1" x14ac:dyDescent="0.3">
      <c r="A22" s="292" t="s">
        <v>145</v>
      </c>
      <c r="B22" s="291"/>
      <c r="C22" s="283">
        <f>116627+408195+384869</f>
        <v>909691</v>
      </c>
      <c r="D22" s="295"/>
      <c r="E22" s="296"/>
      <c r="F22" s="296"/>
      <c r="G22" s="296"/>
      <c r="H22" s="296">
        <f>Реєстр_софинанс!H68</f>
        <v>571261.42999999993</v>
      </c>
      <c r="I22" s="284"/>
      <c r="J22" s="283">
        <f>D22+E22+F22+G22+H22</f>
        <v>571261.42999999993</v>
      </c>
      <c r="K22" s="282"/>
      <c r="L22" s="283"/>
      <c r="M22" s="285">
        <f>N22/N21</f>
        <v>0.86444644511626589</v>
      </c>
      <c r="N22" s="286">
        <f>C22+J22+L22</f>
        <v>1480952.43</v>
      </c>
    </row>
    <row r="23" spans="1:16" s="275" customFormat="1" ht="39.75" customHeight="1" thickBot="1" x14ac:dyDescent="0.3">
      <c r="A23" s="293" t="s">
        <v>136</v>
      </c>
      <c r="B23" s="291"/>
      <c r="C23" s="283">
        <f t="shared" ref="C23:H23" si="1">C21-C22</f>
        <v>232227.64999999991</v>
      </c>
      <c r="D23" s="295">
        <f t="shared" si="1"/>
        <v>0</v>
      </c>
      <c r="E23" s="296">
        <f t="shared" si="1"/>
        <v>0</v>
      </c>
      <c r="F23" s="296">
        <f t="shared" si="1"/>
        <v>0</v>
      </c>
      <c r="G23" s="296">
        <f t="shared" si="1"/>
        <v>0</v>
      </c>
      <c r="H23" s="296">
        <f t="shared" si="1"/>
        <v>0</v>
      </c>
      <c r="I23" s="284"/>
      <c r="J23" s="283">
        <f>D23+E23+F23+G23+H23</f>
        <v>0</v>
      </c>
      <c r="K23" s="282"/>
      <c r="L23" s="283">
        <f>L21-L22</f>
        <v>0</v>
      </c>
      <c r="M23" s="285">
        <f>N23/N21</f>
        <v>0.13555355488373408</v>
      </c>
      <c r="N23" s="286">
        <f>C23+J23+L23</f>
        <v>232227.64999999991</v>
      </c>
    </row>
    <row r="26" spans="1:16" s="287" customFormat="1" ht="15.75" x14ac:dyDescent="0.25">
      <c r="B26" s="287" t="s">
        <v>135</v>
      </c>
      <c r="C26" s="288" t="s">
        <v>502</v>
      </c>
      <c r="D26" s="288"/>
      <c r="E26" s="288"/>
      <c r="F26" s="289"/>
      <c r="G26" s="288"/>
      <c r="H26" s="288"/>
      <c r="I26" s="290"/>
      <c r="J26" s="288" t="s">
        <v>503</v>
      </c>
      <c r="K26" s="288"/>
      <c r="L26" s="288"/>
      <c r="M26" s="288"/>
      <c r="N26" s="288"/>
    </row>
    <row r="27" spans="1:16" x14ac:dyDescent="0.25">
      <c r="D27" s="378" t="s">
        <v>87</v>
      </c>
      <c r="E27"/>
      <c r="F27" s="38"/>
      <c r="G27" s="378" t="s">
        <v>88</v>
      </c>
      <c r="H27"/>
      <c r="J27"/>
      <c r="K27" s="307" t="s">
        <v>157</v>
      </c>
      <c r="L27"/>
      <c r="M27"/>
      <c r="N27"/>
      <c r="O27"/>
      <c r="P27"/>
    </row>
  </sheetData>
  <mergeCells count="9">
    <mergeCell ref="B11:N11"/>
    <mergeCell ref="B12:N12"/>
    <mergeCell ref="B13:N13"/>
    <mergeCell ref="A16:A18"/>
    <mergeCell ref="D16:J16"/>
    <mergeCell ref="B16:C17"/>
    <mergeCell ref="K16:L17"/>
    <mergeCell ref="M16:N17"/>
    <mergeCell ref="I17:J1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8"/>
  <sheetViews>
    <sheetView topLeftCell="B1" zoomScale="80" zoomScaleNormal="80" zoomScaleSheetLayoutView="40" zoomScalePageLayoutView="70" workbookViewId="0">
      <pane xSplit="3" ySplit="11" topLeftCell="E79" activePane="bottomRight" state="frozen"/>
      <selection activeCell="B1" sqref="B1"/>
      <selection pane="topRight" activeCell="E1" sqref="E1"/>
      <selection pane="bottomLeft" activeCell="B12" sqref="B12"/>
      <selection pane="bottomRight" activeCell="L108" sqref="L108"/>
    </sheetView>
  </sheetViews>
  <sheetFormatPr defaultColWidth="8.85546875" defaultRowHeight="15" outlineLevelCol="1" x14ac:dyDescent="0.25"/>
  <cols>
    <col min="1" max="1" width="11.42578125" style="60" customWidth="1"/>
    <col min="2" max="2" width="6.7109375" style="9" customWidth="1"/>
    <col min="3" max="3" width="36" style="41" customWidth="1"/>
    <col min="4" max="4" width="11.85546875" customWidth="1"/>
    <col min="5" max="5" width="11.7109375" bestFit="1" customWidth="1"/>
    <col min="6" max="6" width="12.7109375" customWidth="1"/>
    <col min="7" max="7" width="18.7109375" customWidth="1"/>
    <col min="8" max="8" width="10.28515625" customWidth="1"/>
    <col min="9" max="9" width="13.140625" customWidth="1"/>
    <col min="10" max="10" width="18.7109375" customWidth="1"/>
    <col min="11" max="11" width="10.7109375" customWidth="1"/>
    <col min="12" max="12" width="12.7109375" customWidth="1"/>
    <col min="13" max="13" width="18.7109375" customWidth="1"/>
    <col min="14" max="14" width="10.7109375" customWidth="1"/>
    <col min="15" max="15" width="12.7109375" customWidth="1"/>
    <col min="16" max="16" width="18.7109375" customWidth="1"/>
    <col min="17" max="17" width="10.7109375" hidden="1" customWidth="1" outlineLevel="1"/>
    <col min="18" max="18" width="12.7109375" hidden="1" customWidth="1" outlineLevel="1"/>
    <col min="19" max="19" width="18.7109375" hidden="1" customWidth="1" outlineLevel="1"/>
    <col min="20" max="20" width="10.7109375" hidden="1" customWidth="1" outlineLevel="1"/>
    <col min="21" max="21" width="12.7109375" hidden="1" customWidth="1" outlineLevel="1"/>
    <col min="22" max="22" width="18.7109375" hidden="1" customWidth="1" outlineLevel="1"/>
    <col min="23" max="23" width="10.7109375" hidden="1" customWidth="1" outlineLevel="1"/>
    <col min="24" max="24" width="12.7109375" hidden="1" customWidth="1" outlineLevel="1"/>
    <col min="25" max="25" width="18.7109375" hidden="1" customWidth="1" outlineLevel="1"/>
    <col min="26" max="26" width="10.7109375" hidden="1" customWidth="1" outlineLevel="1"/>
    <col min="27" max="27" width="12.7109375" hidden="1" customWidth="1" outlineLevel="1"/>
    <col min="28" max="28" width="2.7109375" hidden="1" customWidth="1" outlineLevel="1"/>
    <col min="29" max="29" width="18.7109375" customWidth="1" collapsed="1"/>
    <col min="30" max="32" width="18.7109375" customWidth="1"/>
    <col min="33" max="33" width="14.42578125" style="332" customWidth="1"/>
  </cols>
  <sheetData>
    <row r="1" spans="1:35" ht="15.75" x14ac:dyDescent="0.25">
      <c r="A1" s="306" t="s">
        <v>151</v>
      </c>
      <c r="B1" s="306"/>
      <c r="C1" s="306"/>
      <c r="D1" s="306"/>
      <c r="E1" s="3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326"/>
    </row>
    <row r="2" spans="1:35" s="319" customFormat="1" ht="15.75" x14ac:dyDescent="0.25">
      <c r="A2" s="315" t="s">
        <v>216</v>
      </c>
      <c r="B2" s="316"/>
      <c r="C2" s="316"/>
      <c r="D2" s="316"/>
      <c r="E2" s="316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8"/>
      <c r="AD2" s="318"/>
      <c r="AE2" s="318"/>
      <c r="AF2" s="318"/>
      <c r="AG2" s="318"/>
    </row>
    <row r="3" spans="1:35" s="319" customFormat="1" x14ac:dyDescent="0.25">
      <c r="A3" s="315" t="s">
        <v>213</v>
      </c>
      <c r="B3" s="320"/>
      <c r="C3" s="315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2"/>
      <c r="AD3" s="322"/>
      <c r="AE3" s="322"/>
      <c r="AF3" s="322"/>
      <c r="AG3" s="322"/>
    </row>
    <row r="4" spans="1:35" s="319" customFormat="1" ht="15.75" customHeight="1" x14ac:dyDescent="0.25">
      <c r="A4" s="323" t="s">
        <v>160</v>
      </c>
      <c r="B4" s="320"/>
      <c r="C4" s="315"/>
      <c r="D4" s="321"/>
      <c r="E4" s="321"/>
      <c r="F4" s="321"/>
      <c r="G4" s="321"/>
      <c r="H4" s="321"/>
      <c r="I4" s="321"/>
      <c r="J4" s="321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5"/>
      <c r="AD4" s="325"/>
      <c r="AE4" s="325"/>
      <c r="AF4" s="325"/>
      <c r="AG4" s="325"/>
    </row>
    <row r="5" spans="1:35" ht="15.75" thickBot="1" x14ac:dyDescent="0.3">
      <c r="A5" s="45"/>
      <c r="B5" s="7"/>
      <c r="C5" s="83"/>
      <c r="D5" s="3"/>
      <c r="E5" s="3"/>
      <c r="F5" s="3"/>
      <c r="G5" s="3"/>
      <c r="H5" s="3"/>
      <c r="I5" s="3"/>
      <c r="J5" s="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0"/>
      <c r="AD5" s="10"/>
      <c r="AE5" s="10"/>
      <c r="AF5" s="10"/>
      <c r="AG5" s="327"/>
    </row>
    <row r="6" spans="1:35" ht="26.25" customHeight="1" thickBot="1" x14ac:dyDescent="0.3">
      <c r="A6" s="693" t="s">
        <v>153</v>
      </c>
      <c r="B6" s="695" t="s">
        <v>32</v>
      </c>
      <c r="C6" s="697" t="s">
        <v>0</v>
      </c>
      <c r="D6" s="699" t="s">
        <v>2</v>
      </c>
      <c r="E6" s="677" t="s">
        <v>1</v>
      </c>
      <c r="F6" s="678"/>
      <c r="G6" s="678"/>
      <c r="H6" s="678"/>
      <c r="I6" s="678"/>
      <c r="J6" s="679"/>
      <c r="K6" s="677" t="s">
        <v>22</v>
      </c>
      <c r="L6" s="678"/>
      <c r="M6" s="678"/>
      <c r="N6" s="678"/>
      <c r="O6" s="678"/>
      <c r="P6" s="679"/>
      <c r="Q6" s="677" t="s">
        <v>22</v>
      </c>
      <c r="R6" s="678"/>
      <c r="S6" s="678"/>
      <c r="T6" s="678"/>
      <c r="U6" s="678"/>
      <c r="V6" s="679"/>
      <c r="W6" s="677" t="s">
        <v>22</v>
      </c>
      <c r="X6" s="678"/>
      <c r="Y6" s="678"/>
      <c r="Z6" s="678"/>
      <c r="AA6" s="678"/>
      <c r="AB6" s="679"/>
      <c r="AC6" s="704" t="s">
        <v>72</v>
      </c>
      <c r="AD6" s="705"/>
      <c r="AE6" s="705"/>
      <c r="AF6" s="705"/>
      <c r="AG6" s="701" t="s">
        <v>155</v>
      </c>
    </row>
    <row r="7" spans="1:35" ht="71.25" customHeight="1" thickBot="1" x14ac:dyDescent="0.3">
      <c r="A7" s="694"/>
      <c r="B7" s="696"/>
      <c r="C7" s="698"/>
      <c r="D7" s="700"/>
      <c r="E7" s="680" t="s">
        <v>68</v>
      </c>
      <c r="F7" s="681"/>
      <c r="G7" s="682"/>
      <c r="H7" s="680" t="s">
        <v>69</v>
      </c>
      <c r="I7" s="681"/>
      <c r="J7" s="682"/>
      <c r="K7" s="680" t="s">
        <v>68</v>
      </c>
      <c r="L7" s="681"/>
      <c r="M7" s="682"/>
      <c r="N7" s="680" t="s">
        <v>69</v>
      </c>
      <c r="O7" s="681"/>
      <c r="P7" s="682"/>
      <c r="Q7" s="680" t="s">
        <v>68</v>
      </c>
      <c r="R7" s="681"/>
      <c r="S7" s="682"/>
      <c r="T7" s="680" t="s">
        <v>69</v>
      </c>
      <c r="U7" s="681"/>
      <c r="V7" s="682"/>
      <c r="W7" s="680" t="s">
        <v>68</v>
      </c>
      <c r="X7" s="681"/>
      <c r="Y7" s="682"/>
      <c r="Z7" s="680" t="s">
        <v>69</v>
      </c>
      <c r="AA7" s="681"/>
      <c r="AB7" s="682"/>
      <c r="AC7" s="706" t="s">
        <v>108</v>
      </c>
      <c r="AD7" s="706" t="s">
        <v>109</v>
      </c>
      <c r="AE7" s="704" t="s">
        <v>70</v>
      </c>
      <c r="AF7" s="705"/>
      <c r="AG7" s="702"/>
    </row>
    <row r="8" spans="1:35" ht="41.25" customHeight="1" thickBot="1" x14ac:dyDescent="0.3">
      <c r="A8" s="694"/>
      <c r="B8" s="696"/>
      <c r="C8" s="698"/>
      <c r="D8" s="700"/>
      <c r="E8" s="311" t="s">
        <v>154</v>
      </c>
      <c r="F8" s="42" t="s">
        <v>17</v>
      </c>
      <c r="G8" s="12" t="s">
        <v>20</v>
      </c>
      <c r="H8" s="311" t="s">
        <v>154</v>
      </c>
      <c r="I8" s="42" t="s">
        <v>17</v>
      </c>
      <c r="J8" s="12" t="s">
        <v>19</v>
      </c>
      <c r="K8" s="311" t="s">
        <v>154</v>
      </c>
      <c r="L8" s="42" t="s">
        <v>18</v>
      </c>
      <c r="M8" s="12" t="s">
        <v>64</v>
      </c>
      <c r="N8" s="311" t="s">
        <v>154</v>
      </c>
      <c r="O8" s="42" t="s">
        <v>18</v>
      </c>
      <c r="P8" s="12" t="s">
        <v>89</v>
      </c>
      <c r="Q8" s="311" t="s">
        <v>154</v>
      </c>
      <c r="R8" s="42" t="s">
        <v>18</v>
      </c>
      <c r="S8" s="12" t="s">
        <v>90</v>
      </c>
      <c r="T8" s="311" t="s">
        <v>154</v>
      </c>
      <c r="U8" s="42" t="s">
        <v>18</v>
      </c>
      <c r="V8" s="12" t="s">
        <v>94</v>
      </c>
      <c r="W8" s="311" t="s">
        <v>154</v>
      </c>
      <c r="X8" s="42" t="s">
        <v>18</v>
      </c>
      <c r="Y8" s="12" t="s">
        <v>101</v>
      </c>
      <c r="Z8" s="311" t="s">
        <v>154</v>
      </c>
      <c r="AA8" s="42" t="s">
        <v>18</v>
      </c>
      <c r="AB8" s="12" t="s">
        <v>102</v>
      </c>
      <c r="AC8" s="707"/>
      <c r="AD8" s="707"/>
      <c r="AE8" s="109" t="s">
        <v>110</v>
      </c>
      <c r="AF8" s="333" t="s">
        <v>71</v>
      </c>
      <c r="AG8" s="703"/>
    </row>
    <row r="9" spans="1:35" ht="15.75" thickBot="1" x14ac:dyDescent="0.3">
      <c r="A9" s="46" t="s">
        <v>21</v>
      </c>
      <c r="B9" s="17">
        <v>1</v>
      </c>
      <c r="C9" s="84">
        <v>2</v>
      </c>
      <c r="D9" s="70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19">
        <v>27</v>
      </c>
      <c r="AC9" s="26">
        <v>28</v>
      </c>
      <c r="AD9" s="26">
        <v>29</v>
      </c>
      <c r="AE9" s="26">
        <v>30</v>
      </c>
      <c r="AF9" s="117">
        <v>31</v>
      </c>
      <c r="AG9" s="19">
        <v>32</v>
      </c>
    </row>
    <row r="10" spans="1:35" ht="21.75" customHeight="1" thickBot="1" x14ac:dyDescent="0.3">
      <c r="A10" s="111"/>
      <c r="B10" s="112"/>
      <c r="C10" s="113" t="s">
        <v>85</v>
      </c>
      <c r="D10" s="114"/>
      <c r="E10" s="70" t="s">
        <v>73</v>
      </c>
      <c r="F10" s="114" t="s">
        <v>74</v>
      </c>
      <c r="G10" s="115" t="s">
        <v>75</v>
      </c>
      <c r="H10" s="114" t="s">
        <v>76</v>
      </c>
      <c r="I10" s="114" t="s">
        <v>77</v>
      </c>
      <c r="J10" s="114" t="s">
        <v>78</v>
      </c>
      <c r="K10" s="116" t="s">
        <v>79</v>
      </c>
      <c r="L10" s="117" t="s">
        <v>80</v>
      </c>
      <c r="M10" s="26" t="s">
        <v>81</v>
      </c>
      <c r="N10" s="116" t="s">
        <v>82</v>
      </c>
      <c r="O10" s="117" t="s">
        <v>83</v>
      </c>
      <c r="P10" s="26" t="s">
        <v>84</v>
      </c>
      <c r="Q10" s="116" t="s">
        <v>91</v>
      </c>
      <c r="R10" s="117" t="s">
        <v>92</v>
      </c>
      <c r="S10" s="26" t="s">
        <v>93</v>
      </c>
      <c r="T10" s="116" t="s">
        <v>95</v>
      </c>
      <c r="U10" s="117" t="s">
        <v>96</v>
      </c>
      <c r="V10" s="26" t="s">
        <v>97</v>
      </c>
      <c r="W10" s="116" t="s">
        <v>98</v>
      </c>
      <c r="X10" s="117" t="s">
        <v>99</v>
      </c>
      <c r="Y10" s="26" t="s">
        <v>100</v>
      </c>
      <c r="Z10" s="116" t="s">
        <v>103</v>
      </c>
      <c r="AA10" s="117" t="s">
        <v>104</v>
      </c>
      <c r="AB10" s="26" t="s">
        <v>105</v>
      </c>
      <c r="AC10" s="117" t="s">
        <v>106</v>
      </c>
      <c r="AD10" s="117" t="s">
        <v>107</v>
      </c>
      <c r="AE10" s="117" t="s">
        <v>111</v>
      </c>
      <c r="AF10" s="117" t="s">
        <v>112</v>
      </c>
      <c r="AG10" s="19"/>
    </row>
    <row r="11" spans="1:35" s="43" customFormat="1" ht="20.100000000000001" customHeight="1" thickBot="1" x14ac:dyDescent="0.3">
      <c r="A11" s="101"/>
      <c r="B11" s="102"/>
      <c r="C11" s="103" t="s">
        <v>42</v>
      </c>
      <c r="D11" s="94"/>
      <c r="E11" s="95"/>
      <c r="F11" s="94"/>
      <c r="G11" s="96"/>
      <c r="H11" s="94"/>
      <c r="I11" s="94"/>
      <c r="J11" s="94"/>
      <c r="K11" s="97"/>
      <c r="L11" s="98"/>
      <c r="M11" s="99"/>
      <c r="N11" s="97"/>
      <c r="O11" s="98"/>
      <c r="P11" s="99"/>
      <c r="Q11" s="97"/>
      <c r="R11" s="98"/>
      <c r="S11" s="99"/>
      <c r="T11" s="97"/>
      <c r="U11" s="98"/>
      <c r="V11" s="99"/>
      <c r="W11" s="97"/>
      <c r="X11" s="98"/>
      <c r="Y11" s="99"/>
      <c r="Z11" s="97"/>
      <c r="AA11" s="98"/>
      <c r="AB11" s="99"/>
      <c r="AC11" s="110"/>
      <c r="AD11" s="100"/>
      <c r="AE11" s="100"/>
      <c r="AF11" s="100"/>
      <c r="AG11" s="352"/>
    </row>
    <row r="12" spans="1:35" s="20" customFormat="1" ht="22.5" customHeight="1" thickBot="1" x14ac:dyDescent="0.3">
      <c r="A12" s="50" t="s">
        <v>43</v>
      </c>
      <c r="B12" s="30">
        <v>1</v>
      </c>
      <c r="C12" s="86" t="s">
        <v>27</v>
      </c>
      <c r="D12" s="31"/>
      <c r="E12" s="148"/>
      <c r="F12" s="149"/>
      <c r="G12" s="149"/>
      <c r="H12" s="150"/>
      <c r="I12" s="151"/>
      <c r="J12" s="152"/>
      <c r="K12" s="153"/>
      <c r="L12" s="153"/>
      <c r="M12" s="154"/>
      <c r="N12" s="155"/>
      <c r="O12" s="153"/>
      <c r="P12" s="154"/>
      <c r="Q12" s="153"/>
      <c r="R12" s="153"/>
      <c r="S12" s="154"/>
      <c r="T12" s="155"/>
      <c r="U12" s="153"/>
      <c r="V12" s="154"/>
      <c r="W12" s="153"/>
      <c r="X12" s="153"/>
      <c r="Y12" s="154"/>
      <c r="Z12" s="155"/>
      <c r="AA12" s="153"/>
      <c r="AB12" s="153"/>
      <c r="AC12" s="251"/>
      <c r="AD12" s="252"/>
      <c r="AE12" s="252"/>
      <c r="AF12" s="334"/>
      <c r="AG12" s="353"/>
      <c r="AH12" s="120"/>
      <c r="AI12" s="120"/>
    </row>
    <row r="13" spans="1:35" s="40" customFormat="1" ht="30" customHeight="1" x14ac:dyDescent="0.25">
      <c r="A13" s="25" t="s">
        <v>14</v>
      </c>
      <c r="B13" s="24" t="s">
        <v>28</v>
      </c>
      <c r="C13" s="28" t="s">
        <v>38</v>
      </c>
      <c r="D13" s="76"/>
      <c r="E13" s="127"/>
      <c r="F13" s="128"/>
      <c r="G13" s="156">
        <f>SUM(G14:G15)</f>
        <v>92000</v>
      </c>
      <c r="H13" s="127"/>
      <c r="I13" s="128"/>
      <c r="J13" s="156">
        <f>SUM(J14:J16)</f>
        <v>92000</v>
      </c>
      <c r="K13" s="127"/>
      <c r="L13" s="128"/>
      <c r="M13" s="156">
        <f>SUM(M14:M16)</f>
        <v>119500</v>
      </c>
      <c r="N13" s="127"/>
      <c r="O13" s="128"/>
      <c r="P13" s="156">
        <f>SUM(P14:P15)</f>
        <v>0</v>
      </c>
      <c r="Q13" s="127"/>
      <c r="R13" s="128"/>
      <c r="S13" s="156">
        <f>SUM(S14:S15)</f>
        <v>0</v>
      </c>
      <c r="T13" s="127"/>
      <c r="U13" s="128"/>
      <c r="V13" s="156">
        <f>SUM(V14:V15)</f>
        <v>0</v>
      </c>
      <c r="W13" s="127"/>
      <c r="X13" s="128"/>
      <c r="Y13" s="156">
        <f>SUM(Y14:Y15)</f>
        <v>0</v>
      </c>
      <c r="Z13" s="127"/>
      <c r="AA13" s="128"/>
      <c r="AB13" s="156">
        <f>SUM(AB14:AB15)</f>
        <v>0</v>
      </c>
      <c r="AC13" s="242">
        <f>G13+M13+S13+Y13</f>
        <v>211500</v>
      </c>
      <c r="AD13" s="244">
        <f>J13+P13+V13+AB13</f>
        <v>92000</v>
      </c>
      <c r="AE13" s="243">
        <f>AC13-AD13</f>
        <v>119500</v>
      </c>
      <c r="AF13" s="335">
        <f>AE13/AC13</f>
        <v>0.56501182033096931</v>
      </c>
      <c r="AG13" s="354"/>
      <c r="AH13" s="119"/>
      <c r="AI13" s="119"/>
    </row>
    <row r="14" spans="1:35" s="20" customFormat="1" ht="30" customHeight="1" x14ac:dyDescent="0.25">
      <c r="A14" s="47" t="s">
        <v>15</v>
      </c>
      <c r="B14" s="23" t="s">
        <v>44</v>
      </c>
      <c r="C14" s="29" t="s">
        <v>161</v>
      </c>
      <c r="D14" s="72" t="s">
        <v>3</v>
      </c>
      <c r="E14" s="132">
        <v>5</v>
      </c>
      <c r="F14" s="133">
        <v>9400</v>
      </c>
      <c r="G14" s="134">
        <f>E14*F14</f>
        <v>47000</v>
      </c>
      <c r="H14" s="132">
        <v>5</v>
      </c>
      <c r="I14" s="133">
        <v>9400</v>
      </c>
      <c r="J14" s="134">
        <f>H14*I14</f>
        <v>47000</v>
      </c>
      <c r="K14" s="132"/>
      <c r="L14" s="133"/>
      <c r="M14" s="134">
        <f>K14*L14</f>
        <v>0</v>
      </c>
      <c r="N14" s="132"/>
      <c r="O14" s="133"/>
      <c r="P14" s="134">
        <f>N14*O14</f>
        <v>0</v>
      </c>
      <c r="Q14" s="132"/>
      <c r="R14" s="133"/>
      <c r="S14" s="134">
        <f>Q14*R14</f>
        <v>0</v>
      </c>
      <c r="T14" s="132"/>
      <c r="U14" s="133"/>
      <c r="V14" s="134">
        <f>T14*U14</f>
        <v>0</v>
      </c>
      <c r="W14" s="132"/>
      <c r="X14" s="133"/>
      <c r="Y14" s="134">
        <f>W14*X14</f>
        <v>0</v>
      </c>
      <c r="Z14" s="132"/>
      <c r="AA14" s="133"/>
      <c r="AB14" s="134">
        <f>Z14*AA14</f>
        <v>0</v>
      </c>
      <c r="AC14" s="245">
        <f t="shared" ref="AC14" si="0">G14+M14+S14+Y14</f>
        <v>47000</v>
      </c>
      <c r="AD14" s="246">
        <f t="shared" ref="AD14:AD20" si="1">J14+P14+V14+AB14</f>
        <v>47000</v>
      </c>
      <c r="AE14" s="206">
        <f t="shared" ref="AE14:AE20" si="2">AC14-AD14</f>
        <v>0</v>
      </c>
      <c r="AF14" s="336">
        <f t="shared" ref="AF14:AF50" si="3">AE14/AC14</f>
        <v>0</v>
      </c>
      <c r="AG14" s="355"/>
      <c r="AH14" s="120"/>
      <c r="AI14" s="120"/>
    </row>
    <row r="15" spans="1:35" s="20" customFormat="1" ht="30" customHeight="1" thickBot="1" x14ac:dyDescent="0.3">
      <c r="A15" s="47" t="s">
        <v>15</v>
      </c>
      <c r="B15" s="23" t="s">
        <v>45</v>
      </c>
      <c r="C15" s="29" t="s">
        <v>162</v>
      </c>
      <c r="D15" s="72" t="s">
        <v>3</v>
      </c>
      <c r="E15" s="132">
        <v>5</v>
      </c>
      <c r="F15" s="133">
        <v>9000</v>
      </c>
      <c r="G15" s="134">
        <f>E15*F15</f>
        <v>45000</v>
      </c>
      <c r="H15" s="132">
        <v>5</v>
      </c>
      <c r="I15" s="133">
        <v>9000</v>
      </c>
      <c r="J15" s="134">
        <f>H15*I15</f>
        <v>45000</v>
      </c>
      <c r="K15" s="132"/>
      <c r="L15" s="133"/>
      <c r="M15" s="134">
        <f>K15*L15</f>
        <v>0</v>
      </c>
      <c r="N15" s="132"/>
      <c r="O15" s="133"/>
      <c r="P15" s="134">
        <f>N15*O15</f>
        <v>0</v>
      </c>
      <c r="Q15" s="132"/>
      <c r="R15" s="133"/>
      <c r="S15" s="134">
        <f>Q15*R15</f>
        <v>0</v>
      </c>
      <c r="T15" s="132"/>
      <c r="U15" s="133"/>
      <c r="V15" s="134">
        <f>T15*U15</f>
        <v>0</v>
      </c>
      <c r="W15" s="132"/>
      <c r="X15" s="133"/>
      <c r="Y15" s="134">
        <f>W15*X15</f>
        <v>0</v>
      </c>
      <c r="Z15" s="132"/>
      <c r="AA15" s="133"/>
      <c r="AB15" s="134">
        <f>Z15*AA15</f>
        <v>0</v>
      </c>
      <c r="AC15" s="245">
        <f>G15+M15+S15+Y15</f>
        <v>45000</v>
      </c>
      <c r="AD15" s="246">
        <f t="shared" si="1"/>
        <v>45000</v>
      </c>
      <c r="AE15" s="225">
        <f t="shared" si="2"/>
        <v>0</v>
      </c>
      <c r="AF15" s="336">
        <f t="shared" si="3"/>
        <v>0</v>
      </c>
      <c r="AG15" s="355"/>
      <c r="AH15" s="120"/>
      <c r="AI15" s="120"/>
    </row>
    <row r="16" spans="1:35" s="20" customFormat="1" ht="69.75" customHeight="1" thickBot="1" x14ac:dyDescent="0.25">
      <c r="A16" s="826"/>
      <c r="B16" s="828" t="s">
        <v>46</v>
      </c>
      <c r="C16" s="829" t="s">
        <v>174</v>
      </c>
      <c r="D16" s="75" t="s">
        <v>3</v>
      </c>
      <c r="E16" s="137"/>
      <c r="F16" s="403"/>
      <c r="G16" s="138"/>
      <c r="H16" s="138"/>
      <c r="I16" s="138"/>
      <c r="J16" s="138"/>
      <c r="K16" s="138">
        <v>5</v>
      </c>
      <c r="L16" s="138">
        <v>23900</v>
      </c>
      <c r="M16" s="138">
        <f>K16*L16</f>
        <v>119500</v>
      </c>
      <c r="N16" s="138"/>
      <c r="O16" s="138"/>
      <c r="P16" s="139">
        <f>N16*O16</f>
        <v>0</v>
      </c>
      <c r="Q16" s="830"/>
      <c r="R16" s="831"/>
      <c r="S16" s="831"/>
      <c r="T16" s="830"/>
      <c r="U16" s="831"/>
      <c r="V16" s="831"/>
      <c r="W16" s="830"/>
      <c r="X16" s="831"/>
      <c r="Y16" s="831"/>
      <c r="Z16" s="830"/>
      <c r="AA16" s="831"/>
      <c r="AB16" s="831"/>
      <c r="AC16" s="247">
        <f>G16+M16+S16+Y16</f>
        <v>119500</v>
      </c>
      <c r="AD16" s="248">
        <f t="shared" si="1"/>
        <v>0</v>
      </c>
      <c r="AE16" s="225">
        <f t="shared" si="2"/>
        <v>119500</v>
      </c>
      <c r="AF16" s="338">
        <f t="shared" si="3"/>
        <v>1</v>
      </c>
      <c r="AG16" s="883" t="s">
        <v>515</v>
      </c>
      <c r="AH16" s="120"/>
      <c r="AI16" s="120"/>
    </row>
    <row r="17" spans="1:35" s="20" customFormat="1" ht="30" customHeight="1" thickBot="1" x14ac:dyDescent="0.25">
      <c r="A17" s="860"/>
      <c r="B17" s="868" t="s">
        <v>513</v>
      </c>
      <c r="C17" s="870" t="s">
        <v>514</v>
      </c>
      <c r="D17" s="864"/>
      <c r="E17" s="865"/>
      <c r="F17" s="865"/>
      <c r="G17" s="865"/>
      <c r="H17" s="865"/>
      <c r="I17" s="865"/>
      <c r="J17" s="865"/>
      <c r="K17" s="865"/>
      <c r="L17" s="865"/>
      <c r="M17" s="867">
        <f>M18+M19+M20</f>
        <v>79000</v>
      </c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71">
        <f t="shared" ref="AC17:AC21" si="4">G17+M17+S17+Y17</f>
        <v>79000</v>
      </c>
      <c r="AD17" s="872">
        <f t="shared" si="1"/>
        <v>0</v>
      </c>
      <c r="AE17" s="873">
        <f t="shared" si="2"/>
        <v>79000</v>
      </c>
      <c r="AF17" s="874">
        <f t="shared" si="3"/>
        <v>1</v>
      </c>
      <c r="AG17" s="883"/>
      <c r="AH17" s="120"/>
      <c r="AI17" s="120"/>
    </row>
    <row r="18" spans="1:35" s="20" customFormat="1" ht="38.25" customHeight="1" x14ac:dyDescent="0.25">
      <c r="A18" s="860"/>
      <c r="B18" s="863" t="s">
        <v>44</v>
      </c>
      <c r="C18" s="877" t="s">
        <v>207</v>
      </c>
      <c r="D18" s="878" t="s">
        <v>168</v>
      </c>
      <c r="E18" s="201"/>
      <c r="F18" s="202"/>
      <c r="G18" s="204"/>
      <c r="H18" s="201"/>
      <c r="I18" s="202"/>
      <c r="J18" s="204"/>
      <c r="K18" s="201">
        <v>3</v>
      </c>
      <c r="L18" s="202">
        <v>8000</v>
      </c>
      <c r="M18" s="204">
        <f>K18*L18</f>
        <v>24000</v>
      </c>
      <c r="N18" s="211"/>
      <c r="O18" s="209"/>
      <c r="P18" s="209">
        <f>N18*O18</f>
        <v>0</v>
      </c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827">
        <f t="shared" si="4"/>
        <v>24000</v>
      </c>
      <c r="AD18" s="869">
        <f t="shared" si="1"/>
        <v>0</v>
      </c>
      <c r="AE18" s="861">
        <f t="shared" si="2"/>
        <v>24000</v>
      </c>
      <c r="AF18" s="862">
        <f t="shared" si="3"/>
        <v>1</v>
      </c>
      <c r="AG18" s="888" t="s">
        <v>515</v>
      </c>
      <c r="AH18" s="120"/>
      <c r="AI18" s="120"/>
    </row>
    <row r="19" spans="1:35" s="20" customFormat="1" ht="25.5" x14ac:dyDescent="0.25">
      <c r="A19" s="860"/>
      <c r="B19" s="863" t="s">
        <v>45</v>
      </c>
      <c r="C19" s="401" t="s">
        <v>208</v>
      </c>
      <c r="D19" s="879" t="s">
        <v>164</v>
      </c>
      <c r="E19" s="132"/>
      <c r="F19" s="133"/>
      <c r="G19" s="135"/>
      <c r="H19" s="132"/>
      <c r="I19" s="133"/>
      <c r="J19" s="135"/>
      <c r="K19" s="132">
        <v>1</v>
      </c>
      <c r="L19" s="133">
        <v>25000</v>
      </c>
      <c r="M19" s="212">
        <f t="shared" ref="M19:M20" si="5">K19*L19</f>
        <v>25000</v>
      </c>
      <c r="N19" s="136"/>
      <c r="O19" s="133"/>
      <c r="P19" s="209">
        <f t="shared" ref="P19:P20" si="6">N19*O19</f>
        <v>0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247">
        <f t="shared" si="4"/>
        <v>25000</v>
      </c>
      <c r="AD19" s="248">
        <f t="shared" si="1"/>
        <v>0</v>
      </c>
      <c r="AE19" s="225">
        <f t="shared" si="2"/>
        <v>25000</v>
      </c>
      <c r="AF19" s="338">
        <f t="shared" si="3"/>
        <v>1</v>
      </c>
      <c r="AG19" s="889"/>
      <c r="AH19" s="120"/>
      <c r="AI19" s="120"/>
    </row>
    <row r="20" spans="1:35" s="20" customFormat="1" ht="49.5" customHeight="1" thickBot="1" x14ac:dyDescent="0.3">
      <c r="A20" s="860"/>
      <c r="B20" s="866" t="s">
        <v>46</v>
      </c>
      <c r="C20" s="417" t="s">
        <v>209</v>
      </c>
      <c r="D20" s="880" t="s">
        <v>164</v>
      </c>
      <c r="E20" s="158"/>
      <c r="F20" s="159"/>
      <c r="G20" s="161"/>
      <c r="H20" s="158"/>
      <c r="I20" s="159"/>
      <c r="J20" s="161"/>
      <c r="K20" s="158">
        <v>1</v>
      </c>
      <c r="L20" s="159">
        <v>30000</v>
      </c>
      <c r="M20" s="881">
        <f t="shared" si="5"/>
        <v>30000</v>
      </c>
      <c r="N20" s="141"/>
      <c r="O20" s="138"/>
      <c r="P20" s="209">
        <f t="shared" si="6"/>
        <v>0</v>
      </c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247">
        <f t="shared" si="4"/>
        <v>30000</v>
      </c>
      <c r="AD20" s="248">
        <f t="shared" si="1"/>
        <v>0</v>
      </c>
      <c r="AE20" s="225">
        <f t="shared" si="2"/>
        <v>30000</v>
      </c>
      <c r="AF20" s="338">
        <f t="shared" si="3"/>
        <v>1</v>
      </c>
      <c r="AG20" s="890"/>
      <c r="AH20" s="120"/>
      <c r="AI20" s="120"/>
    </row>
    <row r="21" spans="1:35" s="40" customFormat="1" ht="32.25" customHeight="1" thickBot="1" x14ac:dyDescent="0.3">
      <c r="A21" s="76" t="s">
        <v>14</v>
      </c>
      <c r="B21" s="875" t="s">
        <v>113</v>
      </c>
      <c r="C21" s="876" t="s">
        <v>30</v>
      </c>
      <c r="D21" s="470"/>
      <c r="E21" s="471"/>
      <c r="F21" s="472"/>
      <c r="G21" s="473">
        <f>SUM(G22:G33)</f>
        <v>283970.19006211183</v>
      </c>
      <c r="H21" s="473"/>
      <c r="I21" s="473"/>
      <c r="J21" s="473">
        <f>SUM(J22:J33)</f>
        <v>136824.59999999998</v>
      </c>
      <c r="K21" s="473"/>
      <c r="L21" s="473"/>
      <c r="M21" s="473">
        <f>SUM(M22:M33)</f>
        <v>74150</v>
      </c>
      <c r="N21" s="473"/>
      <c r="O21" s="473"/>
      <c r="P21" s="473">
        <f>SUM(P22:P33)</f>
        <v>155870.43</v>
      </c>
      <c r="Q21" s="473">
        <f t="shared" ref="Q21" si="7">SUM(Q24:Q33)</f>
        <v>0</v>
      </c>
      <c r="R21" s="473">
        <f t="shared" ref="R21" si="8">SUM(R24:R33)</f>
        <v>0</v>
      </c>
      <c r="S21" s="473">
        <f t="shared" ref="S21" si="9">SUM(S24:S33)</f>
        <v>0</v>
      </c>
      <c r="T21" s="473">
        <f t="shared" ref="T21" si="10">SUM(T24:T33)</f>
        <v>0</v>
      </c>
      <c r="U21" s="473">
        <f t="shared" ref="U21" si="11">SUM(U24:U33)</f>
        <v>0</v>
      </c>
      <c r="V21" s="473">
        <f t="shared" ref="V21" si="12">SUM(V24:V33)</f>
        <v>0</v>
      </c>
      <c r="W21" s="473">
        <f t="shared" ref="W21" si="13">SUM(W24:W33)</f>
        <v>0</v>
      </c>
      <c r="X21" s="473">
        <f t="shared" ref="X21" si="14">SUM(X24:X33)</f>
        <v>0</v>
      </c>
      <c r="Y21" s="473">
        <f t="shared" ref="Y21" si="15">SUM(Y24:Y33)</f>
        <v>0</v>
      </c>
      <c r="Z21" s="473">
        <f t="shared" ref="Z21" si="16">SUM(Z24:Z33)</f>
        <v>0</v>
      </c>
      <c r="AA21" s="473">
        <f t="shared" ref="AA21" si="17">SUM(AA24:AA33)</f>
        <v>0</v>
      </c>
      <c r="AB21" s="473">
        <f t="shared" ref="AB21" si="18">SUM(AB24:AB33)</f>
        <v>0</v>
      </c>
      <c r="AC21" s="871">
        <f>G21+M21+S21+Y21</f>
        <v>358120.19006211183</v>
      </c>
      <c r="AD21" s="842">
        <f>J21+P21+V21+AB21</f>
        <v>292695.02999999997</v>
      </c>
      <c r="AE21" s="843">
        <f>AC21-AD21</f>
        <v>65425.160062111856</v>
      </c>
      <c r="AF21" s="844">
        <f t="shared" si="3"/>
        <v>0.18269050971620621</v>
      </c>
      <c r="AG21" s="845"/>
      <c r="AH21" s="119"/>
      <c r="AI21" s="119"/>
    </row>
    <row r="22" spans="1:35" s="40" customFormat="1" ht="32.25" customHeight="1" x14ac:dyDescent="0.25">
      <c r="A22" s="74"/>
      <c r="B22" s="846" t="s">
        <v>44</v>
      </c>
      <c r="C22" s="895" t="s">
        <v>508</v>
      </c>
      <c r="D22" s="900" t="s">
        <v>3</v>
      </c>
      <c r="E22" s="901">
        <v>5</v>
      </c>
      <c r="F22" s="902">
        <v>11000</v>
      </c>
      <c r="G22" s="903">
        <f t="shared" ref="G22:G23" si="19">E22*F22</f>
        <v>55000</v>
      </c>
      <c r="H22" s="923"/>
      <c r="I22" s="924"/>
      <c r="J22" s="925"/>
      <c r="K22" s="920">
        <v>5</v>
      </c>
      <c r="L22" s="902">
        <v>6000</v>
      </c>
      <c r="M22" s="903">
        <f t="shared" ref="M22:M23" si="20">K22*L22</f>
        <v>30000</v>
      </c>
      <c r="N22" s="923"/>
      <c r="O22" s="924"/>
      <c r="P22" s="925"/>
      <c r="Q22" s="926"/>
      <c r="R22" s="927"/>
      <c r="S22" s="927"/>
      <c r="T22" s="926"/>
      <c r="U22" s="927"/>
      <c r="V22" s="927"/>
      <c r="W22" s="926"/>
      <c r="X22" s="927"/>
      <c r="Y22" s="927"/>
      <c r="Z22" s="926"/>
      <c r="AA22" s="927"/>
      <c r="AB22" s="927"/>
      <c r="AC22" s="835">
        <f t="shared" ref="AC22:AC23" si="21">G22+M22</f>
        <v>85000</v>
      </c>
      <c r="AD22" s="836">
        <f t="shared" ref="AD22:AD23" si="22">J22+P22</f>
        <v>0</v>
      </c>
      <c r="AE22" s="835">
        <f t="shared" ref="AE22:AE33" si="23">AC22-AD22</f>
        <v>85000</v>
      </c>
      <c r="AF22" s="837">
        <f t="shared" si="3"/>
        <v>1</v>
      </c>
      <c r="AG22" s="928" t="s">
        <v>515</v>
      </c>
      <c r="AH22" s="119"/>
      <c r="AI22" s="119"/>
    </row>
    <row r="23" spans="1:35" s="40" customFormat="1" ht="47.25" customHeight="1" thickBot="1" x14ac:dyDescent="0.3">
      <c r="A23" s="74"/>
      <c r="B23" s="394" t="s">
        <v>45</v>
      </c>
      <c r="C23" s="379" t="s">
        <v>509</v>
      </c>
      <c r="D23" s="904" t="s">
        <v>3</v>
      </c>
      <c r="E23" s="833">
        <v>4</v>
      </c>
      <c r="F23" s="834">
        <v>13000</v>
      </c>
      <c r="G23" s="905">
        <f t="shared" si="19"/>
        <v>52000</v>
      </c>
      <c r="H23" s="929"/>
      <c r="I23" s="930"/>
      <c r="J23" s="931"/>
      <c r="K23" s="917">
        <v>4</v>
      </c>
      <c r="L23" s="834">
        <v>5000</v>
      </c>
      <c r="M23" s="905">
        <f t="shared" si="20"/>
        <v>20000</v>
      </c>
      <c r="N23" s="929"/>
      <c r="O23" s="930"/>
      <c r="P23" s="931"/>
      <c r="Q23" s="932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835">
        <f t="shared" si="21"/>
        <v>72000</v>
      </c>
      <c r="AD23" s="836">
        <f t="shared" si="22"/>
        <v>0</v>
      </c>
      <c r="AE23" s="835">
        <f t="shared" si="23"/>
        <v>72000</v>
      </c>
      <c r="AF23" s="837">
        <f t="shared" si="3"/>
        <v>1</v>
      </c>
      <c r="AG23" s="933"/>
      <c r="AH23" s="119"/>
      <c r="AI23" s="119"/>
    </row>
    <row r="24" spans="1:35" s="392" customFormat="1" ht="68.25" customHeight="1" x14ac:dyDescent="0.25">
      <c r="A24" s="393" t="s">
        <v>15</v>
      </c>
      <c r="B24" s="832" t="s">
        <v>46</v>
      </c>
      <c r="C24" s="896" t="s">
        <v>163</v>
      </c>
      <c r="D24" s="906" t="s">
        <v>164</v>
      </c>
      <c r="E24" s="833">
        <v>1</v>
      </c>
      <c r="F24" s="834">
        <v>8937.89</v>
      </c>
      <c r="G24" s="905">
        <f>E24*F24</f>
        <v>8937.89</v>
      </c>
      <c r="H24" s="917">
        <v>1</v>
      </c>
      <c r="I24" s="834">
        <v>8937.89</v>
      </c>
      <c r="J24" s="905">
        <f>H24*I24</f>
        <v>8937.89</v>
      </c>
      <c r="K24" s="917">
        <v>1</v>
      </c>
      <c r="L24" s="834">
        <v>8050</v>
      </c>
      <c r="M24" s="905">
        <f>K24*L24</f>
        <v>8050</v>
      </c>
      <c r="N24" s="917">
        <v>1</v>
      </c>
      <c r="O24" s="834">
        <f>11019.54+828.27</f>
        <v>11847.810000000001</v>
      </c>
      <c r="P24" s="905">
        <f>N24*O24</f>
        <v>11847.810000000001</v>
      </c>
      <c r="Q24" s="919"/>
      <c r="R24" s="387"/>
      <c r="S24" s="385"/>
      <c r="T24" s="386"/>
      <c r="U24" s="387"/>
      <c r="V24" s="388"/>
      <c r="W24" s="386"/>
      <c r="X24" s="387"/>
      <c r="Y24" s="385"/>
      <c r="Z24" s="386"/>
      <c r="AA24" s="387"/>
      <c r="AB24" s="385"/>
      <c r="AC24" s="835">
        <f>G24+M24</f>
        <v>16987.89</v>
      </c>
      <c r="AD24" s="836">
        <f>J24+P24</f>
        <v>20785.7</v>
      </c>
      <c r="AE24" s="835">
        <f t="shared" si="23"/>
        <v>-3797.8100000000013</v>
      </c>
      <c r="AF24" s="837">
        <f t="shared" si="3"/>
        <v>-0.22355984174609098</v>
      </c>
      <c r="AG24" s="838"/>
      <c r="AH24" s="391"/>
      <c r="AI24" s="391"/>
    </row>
    <row r="25" spans="1:35" s="392" customFormat="1" ht="78.75" customHeight="1" x14ac:dyDescent="0.25">
      <c r="A25" s="47" t="s">
        <v>15</v>
      </c>
      <c r="B25" s="394" t="s">
        <v>50</v>
      </c>
      <c r="C25" s="897" t="s">
        <v>165</v>
      </c>
      <c r="D25" s="907" t="s">
        <v>164</v>
      </c>
      <c r="E25" s="383">
        <v>1</v>
      </c>
      <c r="F25" s="384">
        <v>8937.89</v>
      </c>
      <c r="G25" s="908">
        <f t="shared" ref="G25:G33" si="24">E25*F25</f>
        <v>8937.89</v>
      </c>
      <c r="H25" s="380">
        <v>1</v>
      </c>
      <c r="I25" s="384">
        <v>8937.89</v>
      </c>
      <c r="J25" s="908">
        <f t="shared" ref="J25:J33" si="25">H25*I25</f>
        <v>8937.89</v>
      </c>
      <c r="K25" s="380">
        <v>1</v>
      </c>
      <c r="L25" s="384">
        <v>8050</v>
      </c>
      <c r="M25" s="908">
        <f t="shared" ref="M25:M33" si="26">K25*L25</f>
        <v>8050</v>
      </c>
      <c r="N25" s="380">
        <v>1</v>
      </c>
      <c r="O25" s="384">
        <f>11428.1+833.21</f>
        <v>12261.310000000001</v>
      </c>
      <c r="P25" s="908">
        <f t="shared" ref="P25:P32" si="27">N25*O25</f>
        <v>12261.310000000001</v>
      </c>
      <c r="Q25" s="919"/>
      <c r="R25" s="387"/>
      <c r="S25" s="385"/>
      <c r="T25" s="386"/>
      <c r="U25" s="387"/>
      <c r="V25" s="388"/>
      <c r="W25" s="386"/>
      <c r="X25" s="387"/>
      <c r="Y25" s="385"/>
      <c r="Z25" s="386"/>
      <c r="AA25" s="387"/>
      <c r="AB25" s="385"/>
      <c r="AC25" s="397">
        <f t="shared" ref="AC25:AC33" si="28">G25+M25</f>
        <v>16987.89</v>
      </c>
      <c r="AD25" s="398">
        <f t="shared" ref="AD25:AD33" si="29">J25+P25</f>
        <v>21199.200000000001</v>
      </c>
      <c r="AE25" s="397">
        <f t="shared" si="23"/>
        <v>-4211.3100000000013</v>
      </c>
      <c r="AF25" s="389">
        <f t="shared" si="3"/>
        <v>-0.24790071044726575</v>
      </c>
      <c r="AG25" s="390"/>
      <c r="AH25" s="391"/>
      <c r="AI25" s="391"/>
    </row>
    <row r="26" spans="1:35" s="392" customFormat="1" ht="69" customHeight="1" thickBot="1" x14ac:dyDescent="0.3">
      <c r="A26" s="48" t="s">
        <v>15</v>
      </c>
      <c r="B26" s="394" t="s">
        <v>51</v>
      </c>
      <c r="C26" s="897" t="s">
        <v>166</v>
      </c>
      <c r="D26" s="907" t="s">
        <v>164</v>
      </c>
      <c r="E26" s="383">
        <v>1</v>
      </c>
      <c r="F26" s="384">
        <v>8937.89</v>
      </c>
      <c r="G26" s="908">
        <f t="shared" si="24"/>
        <v>8937.89</v>
      </c>
      <c r="H26" s="380">
        <v>1</v>
      </c>
      <c r="I26" s="384">
        <v>8937.89</v>
      </c>
      <c r="J26" s="908">
        <f t="shared" si="25"/>
        <v>8937.89</v>
      </c>
      <c r="K26" s="380">
        <v>1</v>
      </c>
      <c r="L26" s="384">
        <v>8050</v>
      </c>
      <c r="M26" s="908">
        <f t="shared" si="26"/>
        <v>8050</v>
      </c>
      <c r="N26" s="380">
        <v>1</v>
      </c>
      <c r="O26" s="384">
        <f>11428.1+833.21</f>
        <v>12261.310000000001</v>
      </c>
      <c r="P26" s="908">
        <f t="shared" si="27"/>
        <v>12261.310000000001</v>
      </c>
      <c r="Q26" s="919"/>
      <c r="R26" s="387"/>
      <c r="S26" s="385"/>
      <c r="T26" s="386"/>
      <c r="U26" s="387"/>
      <c r="V26" s="388"/>
      <c r="W26" s="386"/>
      <c r="X26" s="387"/>
      <c r="Y26" s="385"/>
      <c r="Z26" s="386"/>
      <c r="AA26" s="387"/>
      <c r="AB26" s="385"/>
      <c r="AC26" s="397">
        <f t="shared" si="28"/>
        <v>16987.89</v>
      </c>
      <c r="AD26" s="398">
        <f t="shared" si="29"/>
        <v>21199.200000000001</v>
      </c>
      <c r="AE26" s="397">
        <f t="shared" si="23"/>
        <v>-4211.3100000000013</v>
      </c>
      <c r="AF26" s="389">
        <f t="shared" si="3"/>
        <v>-0.24790071044726575</v>
      </c>
      <c r="AG26" s="390"/>
      <c r="AH26" s="391"/>
      <c r="AI26" s="391"/>
    </row>
    <row r="27" spans="1:35" s="392" customFormat="1" ht="72" customHeight="1" x14ac:dyDescent="0.25">
      <c r="A27" s="393" t="s">
        <v>15</v>
      </c>
      <c r="B27" s="394" t="s">
        <v>52</v>
      </c>
      <c r="C27" s="897" t="s">
        <v>167</v>
      </c>
      <c r="D27" s="909" t="s">
        <v>168</v>
      </c>
      <c r="E27" s="383">
        <v>2</v>
      </c>
      <c r="F27" s="382">
        <v>3575.1550000000002</v>
      </c>
      <c r="G27" s="908">
        <f>E27*F27</f>
        <v>7150.31</v>
      </c>
      <c r="H27" s="380">
        <v>2</v>
      </c>
      <c r="I27" s="384">
        <v>3575.1550000000002</v>
      </c>
      <c r="J27" s="908">
        <f t="shared" si="25"/>
        <v>7150.31</v>
      </c>
      <c r="K27" s="380"/>
      <c r="L27" s="384"/>
      <c r="M27" s="908">
        <f t="shared" si="26"/>
        <v>0</v>
      </c>
      <c r="N27" s="386"/>
      <c r="O27" s="387"/>
      <c r="P27" s="908">
        <f t="shared" si="27"/>
        <v>0</v>
      </c>
      <c r="Q27" s="919"/>
      <c r="R27" s="387"/>
      <c r="S27" s="385"/>
      <c r="T27" s="386"/>
      <c r="U27" s="387"/>
      <c r="V27" s="388"/>
      <c r="W27" s="386"/>
      <c r="X27" s="387"/>
      <c r="Y27" s="385"/>
      <c r="Z27" s="386"/>
      <c r="AA27" s="387"/>
      <c r="AB27" s="385"/>
      <c r="AC27" s="397">
        <f t="shared" si="28"/>
        <v>7150.31</v>
      </c>
      <c r="AD27" s="398">
        <f t="shared" si="29"/>
        <v>7150.31</v>
      </c>
      <c r="AE27" s="397">
        <f t="shared" si="23"/>
        <v>0</v>
      </c>
      <c r="AF27" s="389">
        <f t="shared" si="3"/>
        <v>0</v>
      </c>
      <c r="AG27" s="390"/>
      <c r="AH27" s="391"/>
      <c r="AI27" s="391"/>
    </row>
    <row r="28" spans="1:35" s="392" customFormat="1" ht="67.5" customHeight="1" x14ac:dyDescent="0.25">
      <c r="A28" s="47" t="s">
        <v>15</v>
      </c>
      <c r="B28" s="394" t="s">
        <v>67</v>
      </c>
      <c r="C28" s="897" t="s">
        <v>169</v>
      </c>
      <c r="D28" s="909" t="s">
        <v>168</v>
      </c>
      <c r="E28" s="383">
        <v>2</v>
      </c>
      <c r="F28" s="382">
        <v>3575.1550000000002</v>
      </c>
      <c r="G28" s="908">
        <f t="shared" si="24"/>
        <v>7150.31</v>
      </c>
      <c r="H28" s="380">
        <v>2</v>
      </c>
      <c r="I28" s="384">
        <v>3575.1550000000002</v>
      </c>
      <c r="J28" s="908">
        <f t="shared" si="25"/>
        <v>7150.31</v>
      </c>
      <c r="K28" s="380"/>
      <c r="L28" s="384"/>
      <c r="M28" s="908">
        <f t="shared" si="26"/>
        <v>0</v>
      </c>
      <c r="N28" s="386"/>
      <c r="O28" s="387"/>
      <c r="P28" s="908">
        <f t="shared" si="27"/>
        <v>0</v>
      </c>
      <c r="Q28" s="919"/>
      <c r="R28" s="387"/>
      <c r="S28" s="385"/>
      <c r="T28" s="386"/>
      <c r="U28" s="387"/>
      <c r="V28" s="388"/>
      <c r="W28" s="386"/>
      <c r="X28" s="387"/>
      <c r="Y28" s="385"/>
      <c r="Z28" s="386"/>
      <c r="AA28" s="387"/>
      <c r="AB28" s="385"/>
      <c r="AC28" s="397">
        <f t="shared" si="28"/>
        <v>7150.31</v>
      </c>
      <c r="AD28" s="398">
        <f t="shared" si="29"/>
        <v>7150.31</v>
      </c>
      <c r="AE28" s="397">
        <f t="shared" si="23"/>
        <v>0</v>
      </c>
      <c r="AF28" s="389">
        <f t="shared" si="3"/>
        <v>0</v>
      </c>
      <c r="AG28" s="390"/>
      <c r="AH28" s="391"/>
      <c r="AI28" s="391"/>
    </row>
    <row r="29" spans="1:35" s="392" customFormat="1" ht="62.25" customHeight="1" thickBot="1" x14ac:dyDescent="0.3">
      <c r="A29" s="48" t="s">
        <v>15</v>
      </c>
      <c r="B29" s="394" t="s">
        <v>53</v>
      </c>
      <c r="C29" s="897" t="s">
        <v>170</v>
      </c>
      <c r="D29" s="909" t="s">
        <v>168</v>
      </c>
      <c r="E29" s="383">
        <v>2</v>
      </c>
      <c r="F29" s="382">
        <v>3575.1550000000002</v>
      </c>
      <c r="G29" s="908">
        <f t="shared" si="24"/>
        <v>7150.31</v>
      </c>
      <c r="H29" s="380">
        <v>2</v>
      </c>
      <c r="I29" s="384">
        <v>3575.1550000000002</v>
      </c>
      <c r="J29" s="908">
        <f t="shared" si="25"/>
        <v>7150.31</v>
      </c>
      <c r="K29" s="380"/>
      <c r="L29" s="384"/>
      <c r="M29" s="908">
        <f t="shared" si="26"/>
        <v>0</v>
      </c>
      <c r="N29" s="386"/>
      <c r="O29" s="387"/>
      <c r="P29" s="908">
        <f t="shared" si="27"/>
        <v>0</v>
      </c>
      <c r="Q29" s="919"/>
      <c r="R29" s="387"/>
      <c r="S29" s="385"/>
      <c r="T29" s="386"/>
      <c r="U29" s="387"/>
      <c r="V29" s="388"/>
      <c r="W29" s="386"/>
      <c r="X29" s="387"/>
      <c r="Y29" s="385"/>
      <c r="Z29" s="386"/>
      <c r="AA29" s="387"/>
      <c r="AB29" s="385"/>
      <c r="AC29" s="397">
        <f t="shared" si="28"/>
        <v>7150.31</v>
      </c>
      <c r="AD29" s="398">
        <f t="shared" si="29"/>
        <v>7150.31</v>
      </c>
      <c r="AE29" s="397">
        <f t="shared" si="23"/>
        <v>0</v>
      </c>
      <c r="AF29" s="389">
        <f t="shared" si="3"/>
        <v>0</v>
      </c>
      <c r="AG29" s="390"/>
      <c r="AH29" s="391"/>
      <c r="AI29" s="391"/>
    </row>
    <row r="30" spans="1:35" s="392" customFormat="1" ht="89.25" customHeight="1" x14ac:dyDescent="0.25">
      <c r="A30" s="393" t="s">
        <v>15</v>
      </c>
      <c r="B30" s="394" t="s">
        <v>54</v>
      </c>
      <c r="C30" s="897" t="s">
        <v>171</v>
      </c>
      <c r="D30" s="909" t="s">
        <v>168</v>
      </c>
      <c r="E30" s="380">
        <v>12</v>
      </c>
      <c r="F30" s="382">
        <f>2878*100/80.5</f>
        <v>3575.1552795031057</v>
      </c>
      <c r="G30" s="908">
        <f t="shared" si="24"/>
        <v>42901.863354037268</v>
      </c>
      <c r="H30" s="380">
        <v>12</v>
      </c>
      <c r="I30" s="384">
        <v>2460</v>
      </c>
      <c r="J30" s="908">
        <f t="shared" si="25"/>
        <v>29520</v>
      </c>
      <c r="K30" s="380"/>
      <c r="L30" s="384"/>
      <c r="M30" s="908">
        <f t="shared" si="26"/>
        <v>0</v>
      </c>
      <c r="N30" s="386"/>
      <c r="O30" s="387"/>
      <c r="P30" s="908">
        <f t="shared" si="27"/>
        <v>0</v>
      </c>
      <c r="Q30" s="919"/>
      <c r="R30" s="387"/>
      <c r="S30" s="385"/>
      <c r="T30" s="386"/>
      <c r="U30" s="387"/>
      <c r="V30" s="388"/>
      <c r="W30" s="386"/>
      <c r="X30" s="387"/>
      <c r="Y30" s="385"/>
      <c r="Z30" s="386"/>
      <c r="AA30" s="387"/>
      <c r="AB30" s="385"/>
      <c r="AC30" s="397">
        <f t="shared" si="28"/>
        <v>42901.863354037268</v>
      </c>
      <c r="AD30" s="398">
        <f t="shared" si="29"/>
        <v>29520</v>
      </c>
      <c r="AE30" s="397">
        <f t="shared" si="23"/>
        <v>13381.863354037268</v>
      </c>
      <c r="AF30" s="389">
        <f t="shared" si="3"/>
        <v>0.31191799861014596</v>
      </c>
      <c r="AG30" s="891" t="s">
        <v>515</v>
      </c>
      <c r="AH30" s="391"/>
      <c r="AI30" s="391"/>
    </row>
    <row r="31" spans="1:35" s="392" customFormat="1" ht="76.5" x14ac:dyDescent="0.25">
      <c r="A31" s="47" t="s">
        <v>15</v>
      </c>
      <c r="B31" s="394" t="s">
        <v>175</v>
      </c>
      <c r="C31" s="897" t="s">
        <v>172</v>
      </c>
      <c r="D31" s="909" t="s">
        <v>168</v>
      </c>
      <c r="E31" s="380">
        <v>12</v>
      </c>
      <c r="F31" s="382">
        <f t="shared" ref="F31:F32" si="30">2878*100/80.5</f>
        <v>3575.1552795031057</v>
      </c>
      <c r="G31" s="908">
        <f t="shared" si="24"/>
        <v>42901.863354037268</v>
      </c>
      <c r="H31" s="380">
        <v>12</v>
      </c>
      <c r="I31" s="384">
        <v>2460</v>
      </c>
      <c r="J31" s="908">
        <f t="shared" si="25"/>
        <v>29520</v>
      </c>
      <c r="K31" s="380"/>
      <c r="L31" s="384"/>
      <c r="M31" s="908">
        <f t="shared" si="26"/>
        <v>0</v>
      </c>
      <c r="N31" s="386"/>
      <c r="O31" s="387"/>
      <c r="P31" s="908">
        <f t="shared" si="27"/>
        <v>0</v>
      </c>
      <c r="Q31" s="919"/>
      <c r="R31" s="387"/>
      <c r="S31" s="385"/>
      <c r="T31" s="386"/>
      <c r="U31" s="387"/>
      <c r="V31" s="388"/>
      <c r="W31" s="386"/>
      <c r="X31" s="387"/>
      <c r="Y31" s="385"/>
      <c r="Z31" s="386"/>
      <c r="AA31" s="387"/>
      <c r="AB31" s="385"/>
      <c r="AC31" s="397">
        <f t="shared" si="28"/>
        <v>42901.863354037268</v>
      </c>
      <c r="AD31" s="398">
        <f t="shared" si="29"/>
        <v>29520</v>
      </c>
      <c r="AE31" s="397">
        <f t="shared" si="23"/>
        <v>13381.863354037268</v>
      </c>
      <c r="AF31" s="389">
        <f t="shared" si="3"/>
        <v>0.31191799861014596</v>
      </c>
      <c r="AG31" s="892"/>
      <c r="AH31" s="391"/>
      <c r="AI31" s="391"/>
    </row>
    <row r="32" spans="1:35" s="392" customFormat="1" ht="91.5" customHeight="1" thickBot="1" x14ac:dyDescent="0.3">
      <c r="A32" s="48" t="s">
        <v>15</v>
      </c>
      <c r="B32" s="395" t="s">
        <v>176</v>
      </c>
      <c r="C32" s="897" t="s">
        <v>173</v>
      </c>
      <c r="D32" s="910" t="s">
        <v>168</v>
      </c>
      <c r="E32" s="894">
        <v>12</v>
      </c>
      <c r="F32" s="382">
        <f t="shared" si="30"/>
        <v>3575.1552795031057</v>
      </c>
      <c r="G32" s="908">
        <f t="shared" si="24"/>
        <v>42901.863354037268</v>
      </c>
      <c r="H32" s="380">
        <v>12</v>
      </c>
      <c r="I32" s="384">
        <v>2460</v>
      </c>
      <c r="J32" s="908">
        <f t="shared" si="25"/>
        <v>29520</v>
      </c>
      <c r="K32" s="380"/>
      <c r="L32" s="384"/>
      <c r="M32" s="908">
        <f t="shared" si="26"/>
        <v>0</v>
      </c>
      <c r="N32" s="386"/>
      <c r="O32" s="387"/>
      <c r="P32" s="908">
        <f t="shared" si="27"/>
        <v>0</v>
      </c>
      <c r="Q32" s="919"/>
      <c r="R32" s="387"/>
      <c r="S32" s="385"/>
      <c r="T32" s="386"/>
      <c r="U32" s="387"/>
      <c r="V32" s="388"/>
      <c r="W32" s="386"/>
      <c r="X32" s="387"/>
      <c r="Y32" s="385"/>
      <c r="Z32" s="386"/>
      <c r="AA32" s="387"/>
      <c r="AB32" s="385"/>
      <c r="AC32" s="397">
        <f t="shared" si="28"/>
        <v>42901.863354037268</v>
      </c>
      <c r="AD32" s="398">
        <f t="shared" si="29"/>
        <v>29520</v>
      </c>
      <c r="AE32" s="397">
        <f t="shared" si="23"/>
        <v>13381.863354037268</v>
      </c>
      <c r="AF32" s="389">
        <f t="shared" si="3"/>
        <v>0.31191799861014596</v>
      </c>
      <c r="AG32" s="892"/>
      <c r="AH32" s="391"/>
      <c r="AI32" s="391"/>
    </row>
    <row r="33" spans="1:35" s="392" customFormat="1" ht="39" thickBot="1" x14ac:dyDescent="0.3">
      <c r="A33" s="48" t="s">
        <v>15</v>
      </c>
      <c r="B33" s="396" t="s">
        <v>177</v>
      </c>
      <c r="C33" s="898" t="s">
        <v>174</v>
      </c>
      <c r="D33" s="911" t="s">
        <v>3</v>
      </c>
      <c r="E33" s="912"/>
      <c r="F33" s="913"/>
      <c r="G33" s="914">
        <f t="shared" si="24"/>
        <v>0</v>
      </c>
      <c r="H33" s="912"/>
      <c r="I33" s="918"/>
      <c r="J33" s="914">
        <f t="shared" si="25"/>
        <v>0</v>
      </c>
      <c r="K33" s="912"/>
      <c r="L33" s="918"/>
      <c r="M33" s="914">
        <f t="shared" si="26"/>
        <v>0</v>
      </c>
      <c r="N33" s="912">
        <v>5</v>
      </c>
      <c r="O33" s="918">
        <v>23900</v>
      </c>
      <c r="P33" s="914">
        <f>N33*O33</f>
        <v>119500</v>
      </c>
      <c r="Q33" s="919"/>
      <c r="R33" s="387"/>
      <c r="S33" s="385"/>
      <c r="T33" s="386"/>
      <c r="U33" s="387"/>
      <c r="V33" s="388"/>
      <c r="W33" s="386"/>
      <c r="X33" s="387"/>
      <c r="Y33" s="385"/>
      <c r="Z33" s="386"/>
      <c r="AA33" s="387"/>
      <c r="AB33" s="385"/>
      <c r="AC33" s="921">
        <f t="shared" si="28"/>
        <v>0</v>
      </c>
      <c r="AD33" s="922">
        <f t="shared" si="29"/>
        <v>119500</v>
      </c>
      <c r="AE33" s="921">
        <f t="shared" si="23"/>
        <v>-119500</v>
      </c>
      <c r="AF33" s="389" t="e">
        <f>AE33/AC33</f>
        <v>#DIV/0!</v>
      </c>
      <c r="AG33" s="893"/>
      <c r="AH33" s="391"/>
      <c r="AI33" s="391"/>
    </row>
    <row r="34" spans="1:35" s="20" customFormat="1" ht="15.75" thickBot="1" x14ac:dyDescent="0.3">
      <c r="A34" s="104" t="s">
        <v>114</v>
      </c>
      <c r="B34" s="105"/>
      <c r="C34" s="87"/>
      <c r="D34" s="77"/>
      <c r="E34" s="142"/>
      <c r="F34" s="142"/>
      <c r="G34" s="143">
        <f>G21+G13</f>
        <v>375970.19006211183</v>
      </c>
      <c r="H34" s="143">
        <f>H21+H13</f>
        <v>0</v>
      </c>
      <c r="I34" s="143">
        <f>I21+I13</f>
        <v>0</v>
      </c>
      <c r="J34" s="143">
        <f>J21+J13</f>
        <v>228824.59999999998</v>
      </c>
      <c r="K34" s="143">
        <f>K21+K13</f>
        <v>0</v>
      </c>
      <c r="L34" s="143">
        <f>L21+L13</f>
        <v>0</v>
      </c>
      <c r="M34" s="143">
        <f>M21+M13+M17</f>
        <v>272650</v>
      </c>
      <c r="N34" s="143">
        <f>N21+N13</f>
        <v>0</v>
      </c>
      <c r="O34" s="143">
        <f>O21+O13</f>
        <v>0</v>
      </c>
      <c r="P34" s="143">
        <f>P21+P13</f>
        <v>155870.43</v>
      </c>
      <c r="Q34" s="143">
        <f>Q21+Q13</f>
        <v>0</v>
      </c>
      <c r="R34" s="143">
        <f>R21+R13</f>
        <v>0</v>
      </c>
      <c r="S34" s="143">
        <f>S21+S13</f>
        <v>0</v>
      </c>
      <c r="T34" s="143">
        <f>T21+T13</f>
        <v>0</v>
      </c>
      <c r="U34" s="143">
        <f>U21+U13</f>
        <v>0</v>
      </c>
      <c r="V34" s="143">
        <f>V21+V13</f>
        <v>0</v>
      </c>
      <c r="W34" s="143">
        <f>W21+W13</f>
        <v>0</v>
      </c>
      <c r="X34" s="143">
        <f>X21+X13</f>
        <v>0</v>
      </c>
      <c r="Y34" s="143">
        <f>Y21+Y13</f>
        <v>0</v>
      </c>
      <c r="Z34" s="143">
        <f>Z21+Z13</f>
        <v>0</v>
      </c>
      <c r="AA34" s="143">
        <f>AA21+AA13</f>
        <v>0</v>
      </c>
      <c r="AB34" s="143">
        <f>AB21+AB13</f>
        <v>0</v>
      </c>
      <c r="AC34" s="143">
        <f>AC21+AC13+AC17</f>
        <v>648620.19006211183</v>
      </c>
      <c r="AD34" s="143">
        <f>AD21+AD13</f>
        <v>384695.02999999997</v>
      </c>
      <c r="AE34" s="147">
        <f>AE21+AE13</f>
        <v>184925.16006211186</v>
      </c>
      <c r="AF34" s="143">
        <f>AF21+AF13</f>
        <v>0.74770233004717546</v>
      </c>
      <c r="AG34" s="357"/>
      <c r="AH34" s="120"/>
      <c r="AI34" s="120"/>
    </row>
    <row r="35" spans="1:35" s="20" customFormat="1" ht="30" customHeight="1" thickBot="1" x14ac:dyDescent="0.3">
      <c r="A35" s="235" t="s">
        <v>43</v>
      </c>
      <c r="B35" s="236">
        <v>2</v>
      </c>
      <c r="C35" s="88" t="s">
        <v>31</v>
      </c>
      <c r="D35" s="82"/>
      <c r="E35" s="238"/>
      <c r="F35" s="238"/>
      <c r="G35" s="238"/>
      <c r="H35" s="237"/>
      <c r="I35" s="238"/>
      <c r="J35" s="238"/>
      <c r="K35" s="238"/>
      <c r="L35" s="238"/>
      <c r="M35" s="239"/>
      <c r="N35" s="237"/>
      <c r="O35" s="238"/>
      <c r="P35" s="239"/>
      <c r="Q35" s="238"/>
      <c r="R35" s="238"/>
      <c r="S35" s="239"/>
      <c r="T35" s="237"/>
      <c r="U35" s="238"/>
      <c r="V35" s="239"/>
      <c r="W35" s="238"/>
      <c r="X35" s="238"/>
      <c r="Y35" s="239"/>
      <c r="Z35" s="237"/>
      <c r="AA35" s="238"/>
      <c r="AB35" s="238"/>
      <c r="AC35" s="253"/>
      <c r="AD35" s="169"/>
      <c r="AE35" s="169"/>
      <c r="AF35" s="340"/>
      <c r="AG35" s="358"/>
      <c r="AH35" s="120"/>
      <c r="AI35" s="120"/>
    </row>
    <row r="36" spans="1:35" s="40" customFormat="1" ht="30" customHeight="1" thickBot="1" x14ac:dyDescent="0.3">
      <c r="A36" s="76" t="s">
        <v>14</v>
      </c>
      <c r="B36" s="839" t="s">
        <v>29</v>
      </c>
      <c r="C36" s="840" t="s">
        <v>39</v>
      </c>
      <c r="D36" s="855"/>
      <c r="E36" s="471"/>
      <c r="F36" s="472"/>
      <c r="G36" s="856">
        <f>G44+G37+G38+G39+G40+G41+G42+G43</f>
        <v>43780</v>
      </c>
      <c r="H36" s="935"/>
      <c r="I36" s="472"/>
      <c r="J36" s="473">
        <f>J44+J43+J42+J41+J40+J39+J38+J37</f>
        <v>20240</v>
      </c>
      <c r="K36" s="471"/>
      <c r="L36" s="472"/>
      <c r="M36" s="473">
        <f>M44+M43+M42+M41+M40+M39+M38+M37</f>
        <v>54670</v>
      </c>
      <c r="N36" s="471"/>
      <c r="O36" s="472"/>
      <c r="P36" s="856">
        <f>P44+P43+P42+P41+P40+P39+P38+P37</f>
        <v>26290</v>
      </c>
      <c r="Q36" s="471"/>
      <c r="R36" s="472"/>
      <c r="S36" s="473">
        <f>S44</f>
        <v>0</v>
      </c>
      <c r="T36" s="471"/>
      <c r="U36" s="472"/>
      <c r="V36" s="856">
        <f>V44</f>
        <v>0</v>
      </c>
      <c r="W36" s="471"/>
      <c r="X36" s="472"/>
      <c r="Y36" s="473">
        <f>Y44</f>
        <v>0</v>
      </c>
      <c r="Z36" s="471"/>
      <c r="AA36" s="472"/>
      <c r="AB36" s="856">
        <f>AB44</f>
        <v>0</v>
      </c>
      <c r="AC36" s="841">
        <f>G36+M36+S36+Y36</f>
        <v>98450</v>
      </c>
      <c r="AD36" s="857">
        <f>J36+P36+V36+AB36</f>
        <v>46530</v>
      </c>
      <c r="AE36" s="858">
        <f>AC36-AD36</f>
        <v>51920</v>
      </c>
      <c r="AF36" s="844">
        <f t="shared" si="3"/>
        <v>0.52737430167597765</v>
      </c>
      <c r="AG36" s="845"/>
      <c r="AH36" s="119"/>
      <c r="AI36" s="119"/>
    </row>
    <row r="37" spans="1:35" s="40" customFormat="1" ht="30" customHeight="1" x14ac:dyDescent="0.25">
      <c r="A37" s="850"/>
      <c r="B37" s="853" t="s">
        <v>44</v>
      </c>
      <c r="C37" s="895" t="s">
        <v>288</v>
      </c>
      <c r="D37" s="937" t="s">
        <v>3</v>
      </c>
      <c r="E37" s="859">
        <v>5</v>
      </c>
      <c r="F37" s="859">
        <v>2068</v>
      </c>
      <c r="G37" s="938">
        <f>E37*F37</f>
        <v>10340</v>
      </c>
      <c r="H37" s="941">
        <v>5</v>
      </c>
      <c r="I37" s="942">
        <v>2068</v>
      </c>
      <c r="J37" s="943">
        <f>H37*I37</f>
        <v>10340</v>
      </c>
      <c r="K37" s="127"/>
      <c r="L37" s="128"/>
      <c r="M37" s="946">
        <f t="shared" ref="M37:M38" si="31">K37*L37</f>
        <v>0</v>
      </c>
      <c r="N37" s="130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247">
        <f t="shared" ref="AC37:AC43" si="32">G37+M37+S37+Y37</f>
        <v>10340</v>
      </c>
      <c r="AD37" s="248">
        <f t="shared" ref="AD37:AD43" si="33">J37+P37+V37+AB37</f>
        <v>10340</v>
      </c>
      <c r="AE37" s="225">
        <f t="shared" ref="AE37:AE43" si="34">AC37-AD37</f>
        <v>0</v>
      </c>
      <c r="AF37" s="338">
        <f t="shared" si="3"/>
        <v>0</v>
      </c>
      <c r="AG37" s="854"/>
      <c r="AH37" s="119"/>
      <c r="AI37" s="119"/>
    </row>
    <row r="38" spans="1:35" s="40" customFormat="1" ht="30" customHeight="1" x14ac:dyDescent="0.25">
      <c r="A38" s="850"/>
      <c r="B38" s="851" t="s">
        <v>45</v>
      </c>
      <c r="C38" s="379" t="s">
        <v>512</v>
      </c>
      <c r="D38" s="904" t="s">
        <v>3</v>
      </c>
      <c r="E38" s="849">
        <v>5</v>
      </c>
      <c r="F38" s="849">
        <v>1980</v>
      </c>
      <c r="G38" s="938">
        <f t="shared" ref="G38:G44" si="35">E38*F38</f>
        <v>9900</v>
      </c>
      <c r="H38" s="944">
        <v>5</v>
      </c>
      <c r="I38" s="849">
        <v>1980</v>
      </c>
      <c r="J38" s="945">
        <f>H38*I38</f>
        <v>9900</v>
      </c>
      <c r="K38" s="915"/>
      <c r="L38" s="847"/>
      <c r="M38" s="945">
        <f t="shared" si="31"/>
        <v>0</v>
      </c>
      <c r="N38" s="899"/>
      <c r="O38" s="847"/>
      <c r="P38" s="847"/>
      <c r="Q38" s="847"/>
      <c r="R38" s="847"/>
      <c r="S38" s="847"/>
      <c r="T38" s="847"/>
      <c r="U38" s="847"/>
      <c r="V38" s="847"/>
      <c r="W38" s="847"/>
      <c r="X38" s="847"/>
      <c r="Y38" s="847"/>
      <c r="Z38" s="847"/>
      <c r="AA38" s="847"/>
      <c r="AB38" s="847"/>
      <c r="AC38" s="247">
        <f t="shared" si="32"/>
        <v>9900</v>
      </c>
      <c r="AD38" s="248">
        <f t="shared" si="33"/>
        <v>9900</v>
      </c>
      <c r="AE38" s="225">
        <f t="shared" si="34"/>
        <v>0</v>
      </c>
      <c r="AF38" s="338">
        <f t="shared" si="3"/>
        <v>0</v>
      </c>
      <c r="AG38" s="848"/>
      <c r="AH38" s="119"/>
      <c r="AI38" s="119"/>
    </row>
    <row r="39" spans="1:35" s="40" customFormat="1" ht="41.25" customHeight="1" x14ac:dyDescent="0.25">
      <c r="A39" s="850"/>
      <c r="B39" s="851" t="s">
        <v>46</v>
      </c>
      <c r="C39" s="379" t="s">
        <v>419</v>
      </c>
      <c r="D39" s="904" t="s">
        <v>3</v>
      </c>
      <c r="E39" s="849"/>
      <c r="F39" s="849"/>
      <c r="G39" s="938">
        <f t="shared" si="35"/>
        <v>0</v>
      </c>
      <c r="H39" s="915"/>
      <c r="I39" s="847"/>
      <c r="J39" s="916"/>
      <c r="K39" s="944">
        <v>5</v>
      </c>
      <c r="L39" s="849">
        <v>5258</v>
      </c>
      <c r="M39" s="945">
        <f>K39*L39</f>
        <v>26290</v>
      </c>
      <c r="N39" s="936">
        <v>5</v>
      </c>
      <c r="O39" s="849">
        <v>5258</v>
      </c>
      <c r="P39" s="849">
        <f>N39*O39</f>
        <v>26290</v>
      </c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247">
        <f t="shared" si="32"/>
        <v>26290</v>
      </c>
      <c r="AD39" s="248">
        <f t="shared" si="33"/>
        <v>26290</v>
      </c>
      <c r="AE39" s="225">
        <f t="shared" si="34"/>
        <v>0</v>
      </c>
      <c r="AF39" s="338">
        <f t="shared" si="3"/>
        <v>0</v>
      </c>
      <c r="AG39" s="848"/>
      <c r="AH39" s="119"/>
      <c r="AI39" s="119"/>
    </row>
    <row r="40" spans="1:35" s="40" customFormat="1" ht="41.25" customHeight="1" x14ac:dyDescent="0.25">
      <c r="A40" s="850"/>
      <c r="B40" s="851" t="s">
        <v>50</v>
      </c>
      <c r="C40" s="379" t="s">
        <v>510</v>
      </c>
      <c r="D40" s="904" t="s">
        <v>3</v>
      </c>
      <c r="E40" s="849">
        <v>5</v>
      </c>
      <c r="F40" s="849">
        <v>2420</v>
      </c>
      <c r="G40" s="938">
        <f t="shared" si="35"/>
        <v>12100</v>
      </c>
      <c r="H40" s="915"/>
      <c r="I40" s="847"/>
      <c r="J40" s="916"/>
      <c r="K40" s="944">
        <v>5</v>
      </c>
      <c r="L40" s="849">
        <v>1320</v>
      </c>
      <c r="M40" s="945">
        <f t="shared" ref="M40:M44" si="36">K40*L40</f>
        <v>6600</v>
      </c>
      <c r="N40" s="899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247">
        <f t="shared" si="32"/>
        <v>18700</v>
      </c>
      <c r="AD40" s="248">
        <f t="shared" si="33"/>
        <v>0</v>
      </c>
      <c r="AE40" s="225">
        <f t="shared" si="34"/>
        <v>18700</v>
      </c>
      <c r="AF40" s="338">
        <f t="shared" si="3"/>
        <v>1</v>
      </c>
      <c r="AG40" s="949" t="s">
        <v>515</v>
      </c>
      <c r="AH40" s="119"/>
      <c r="AI40" s="119"/>
    </row>
    <row r="41" spans="1:35" s="40" customFormat="1" ht="41.25" customHeight="1" x14ac:dyDescent="0.25">
      <c r="A41" s="850"/>
      <c r="B41" s="851" t="s">
        <v>51</v>
      </c>
      <c r="C41" s="379" t="s">
        <v>511</v>
      </c>
      <c r="D41" s="904" t="s">
        <v>3</v>
      </c>
      <c r="E41" s="849">
        <v>4</v>
      </c>
      <c r="F41" s="849">
        <v>2860</v>
      </c>
      <c r="G41" s="938">
        <f t="shared" si="35"/>
        <v>11440</v>
      </c>
      <c r="H41" s="915"/>
      <c r="I41" s="847"/>
      <c r="J41" s="916"/>
      <c r="K41" s="944">
        <v>4</v>
      </c>
      <c r="L41" s="849">
        <v>1100</v>
      </c>
      <c r="M41" s="945">
        <f t="shared" si="36"/>
        <v>4400</v>
      </c>
      <c r="N41" s="899"/>
      <c r="O41" s="847"/>
      <c r="P41" s="847"/>
      <c r="Q41" s="847"/>
      <c r="R41" s="847"/>
      <c r="S41" s="847"/>
      <c r="T41" s="847"/>
      <c r="U41" s="847"/>
      <c r="V41" s="847"/>
      <c r="W41" s="847"/>
      <c r="X41" s="847"/>
      <c r="Y41" s="847"/>
      <c r="Z41" s="847"/>
      <c r="AA41" s="847"/>
      <c r="AB41" s="847"/>
      <c r="AC41" s="247">
        <f t="shared" si="32"/>
        <v>15840</v>
      </c>
      <c r="AD41" s="248">
        <f t="shared" si="33"/>
        <v>0</v>
      </c>
      <c r="AE41" s="225">
        <f t="shared" si="34"/>
        <v>15840</v>
      </c>
      <c r="AF41" s="338">
        <f t="shared" si="3"/>
        <v>1</v>
      </c>
      <c r="AG41" s="949"/>
      <c r="AH41" s="119"/>
      <c r="AI41" s="119"/>
    </row>
    <row r="42" spans="1:35" s="40" customFormat="1" ht="49.5" customHeight="1" x14ac:dyDescent="0.25">
      <c r="A42" s="850"/>
      <c r="B42" s="851" t="s">
        <v>52</v>
      </c>
      <c r="C42" s="379" t="s">
        <v>207</v>
      </c>
      <c r="D42" s="904" t="s">
        <v>168</v>
      </c>
      <c r="E42" s="849"/>
      <c r="F42" s="849"/>
      <c r="G42" s="938">
        <f t="shared" si="35"/>
        <v>0</v>
      </c>
      <c r="H42" s="915"/>
      <c r="I42" s="847"/>
      <c r="J42" s="916"/>
      <c r="K42" s="944">
        <v>3</v>
      </c>
      <c r="L42" s="849">
        <v>1760</v>
      </c>
      <c r="M42" s="945">
        <f t="shared" si="36"/>
        <v>5280</v>
      </c>
      <c r="N42" s="899"/>
      <c r="O42" s="847"/>
      <c r="P42" s="847"/>
      <c r="Q42" s="847"/>
      <c r="R42" s="847"/>
      <c r="S42" s="847"/>
      <c r="T42" s="847"/>
      <c r="U42" s="847"/>
      <c r="V42" s="847"/>
      <c r="W42" s="847"/>
      <c r="X42" s="847"/>
      <c r="Y42" s="847"/>
      <c r="Z42" s="847"/>
      <c r="AA42" s="847"/>
      <c r="AB42" s="847"/>
      <c r="AC42" s="247">
        <f t="shared" si="32"/>
        <v>5280</v>
      </c>
      <c r="AD42" s="248">
        <f t="shared" si="33"/>
        <v>0</v>
      </c>
      <c r="AE42" s="225">
        <f t="shared" si="34"/>
        <v>5280</v>
      </c>
      <c r="AF42" s="338">
        <f t="shared" si="3"/>
        <v>1</v>
      </c>
      <c r="AG42" s="949"/>
      <c r="AH42" s="119"/>
      <c r="AI42" s="119"/>
    </row>
    <row r="43" spans="1:35" s="40" customFormat="1" ht="41.25" customHeight="1" x14ac:dyDescent="0.25">
      <c r="A43" s="850"/>
      <c r="B43" s="851" t="s">
        <v>67</v>
      </c>
      <c r="C43" s="379" t="s">
        <v>208</v>
      </c>
      <c r="D43" s="904" t="s">
        <v>168</v>
      </c>
      <c r="E43" s="849"/>
      <c r="F43" s="849"/>
      <c r="G43" s="938">
        <f t="shared" si="35"/>
        <v>0</v>
      </c>
      <c r="H43" s="915"/>
      <c r="I43" s="847"/>
      <c r="J43" s="916"/>
      <c r="K43" s="944">
        <v>1</v>
      </c>
      <c r="L43" s="849">
        <v>5500</v>
      </c>
      <c r="M43" s="945">
        <f t="shared" si="36"/>
        <v>5500</v>
      </c>
      <c r="N43" s="899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247">
        <f t="shared" si="32"/>
        <v>5500</v>
      </c>
      <c r="AD43" s="248">
        <f t="shared" si="33"/>
        <v>0</v>
      </c>
      <c r="AE43" s="225">
        <f t="shared" si="34"/>
        <v>5500</v>
      </c>
      <c r="AF43" s="338">
        <f t="shared" si="3"/>
        <v>1</v>
      </c>
      <c r="AG43" s="949"/>
      <c r="AH43" s="119"/>
      <c r="AI43" s="119"/>
    </row>
    <row r="44" spans="1:35" s="20" customFormat="1" ht="39" thickBot="1" x14ac:dyDescent="0.3">
      <c r="A44" s="51" t="s">
        <v>15</v>
      </c>
      <c r="B44" s="852" t="s">
        <v>53</v>
      </c>
      <c r="C44" s="934" t="s">
        <v>209</v>
      </c>
      <c r="D44" s="939" t="s">
        <v>168</v>
      </c>
      <c r="E44" s="175"/>
      <c r="F44" s="176"/>
      <c r="G44" s="940">
        <f t="shared" si="35"/>
        <v>0</v>
      </c>
      <c r="H44" s="158"/>
      <c r="I44" s="159"/>
      <c r="J44" s="161"/>
      <c r="K44" s="175">
        <v>1</v>
      </c>
      <c r="L44" s="176">
        <v>6600</v>
      </c>
      <c r="M44" s="947">
        <f t="shared" si="36"/>
        <v>6600</v>
      </c>
      <c r="N44" s="162"/>
      <c r="O44" s="159"/>
      <c r="P44" s="161"/>
      <c r="Q44" s="158"/>
      <c r="R44" s="159"/>
      <c r="S44" s="160">
        <f>S34*22%</f>
        <v>0</v>
      </c>
      <c r="T44" s="158"/>
      <c r="U44" s="159"/>
      <c r="V44" s="161">
        <f>V34*22%</f>
        <v>0</v>
      </c>
      <c r="W44" s="158"/>
      <c r="X44" s="159"/>
      <c r="Y44" s="160">
        <f>Y34*22%</f>
        <v>0</v>
      </c>
      <c r="Z44" s="158"/>
      <c r="AA44" s="159"/>
      <c r="AB44" s="161">
        <f>AB34*22%</f>
        <v>0</v>
      </c>
      <c r="AC44" s="247">
        <f>G44+M44+S44+Y44</f>
        <v>6600</v>
      </c>
      <c r="AD44" s="248">
        <f t="shared" ref="AD44" si="37">J44+P44+V44+AB44</f>
        <v>0</v>
      </c>
      <c r="AE44" s="225">
        <f t="shared" ref="AE44" si="38">AC44-AD44</f>
        <v>6600</v>
      </c>
      <c r="AF44" s="338">
        <f t="shared" si="3"/>
        <v>1</v>
      </c>
      <c r="AG44" s="949"/>
      <c r="AH44" s="120"/>
      <c r="AI44" s="120"/>
    </row>
    <row r="45" spans="1:35" s="20" customFormat="1" ht="15.75" thickBot="1" x14ac:dyDescent="0.3">
      <c r="A45" s="104" t="s">
        <v>47</v>
      </c>
      <c r="B45" s="105"/>
      <c r="C45" s="106"/>
      <c r="D45" s="107"/>
      <c r="E45" s="142"/>
      <c r="F45" s="142"/>
      <c r="G45" s="147">
        <f>G36</f>
        <v>43780</v>
      </c>
      <c r="H45" s="142"/>
      <c r="I45" s="144"/>
      <c r="J45" s="147">
        <f>J36</f>
        <v>20240</v>
      </c>
      <c r="K45" s="146"/>
      <c r="L45" s="142"/>
      <c r="M45" s="143">
        <f>M36</f>
        <v>54670</v>
      </c>
      <c r="N45" s="142"/>
      <c r="O45" s="142"/>
      <c r="P45" s="147">
        <f>P36</f>
        <v>26290</v>
      </c>
      <c r="Q45" s="147">
        <f t="shared" ref="Q45:AE45" si="39">Q36</f>
        <v>0</v>
      </c>
      <c r="R45" s="147">
        <f t="shared" si="39"/>
        <v>0</v>
      </c>
      <c r="S45" s="147">
        <f t="shared" si="39"/>
        <v>0</v>
      </c>
      <c r="T45" s="147">
        <f t="shared" si="39"/>
        <v>0</v>
      </c>
      <c r="U45" s="147">
        <f t="shared" si="39"/>
        <v>0</v>
      </c>
      <c r="V45" s="147">
        <f t="shared" si="39"/>
        <v>0</v>
      </c>
      <c r="W45" s="147">
        <f t="shared" si="39"/>
        <v>0</v>
      </c>
      <c r="X45" s="147">
        <f t="shared" si="39"/>
        <v>0</v>
      </c>
      <c r="Y45" s="147">
        <f t="shared" si="39"/>
        <v>0</v>
      </c>
      <c r="Z45" s="147">
        <f t="shared" si="39"/>
        <v>0</v>
      </c>
      <c r="AA45" s="147">
        <f t="shared" si="39"/>
        <v>0</v>
      </c>
      <c r="AB45" s="147">
        <f t="shared" si="39"/>
        <v>0</v>
      </c>
      <c r="AC45" s="147">
        <f t="shared" si="39"/>
        <v>98450</v>
      </c>
      <c r="AD45" s="147">
        <f>AD36</f>
        <v>46530</v>
      </c>
      <c r="AE45" s="147">
        <f t="shared" si="39"/>
        <v>51920</v>
      </c>
      <c r="AF45" s="339">
        <f t="shared" si="3"/>
        <v>0.52737430167597765</v>
      </c>
      <c r="AG45" s="948"/>
      <c r="AH45" s="120"/>
      <c r="AI45" s="120"/>
    </row>
    <row r="46" spans="1:35" s="20" customFormat="1" ht="15" customHeight="1" thickBot="1" x14ac:dyDescent="0.3">
      <c r="A46" s="52" t="s">
        <v>43</v>
      </c>
      <c r="B46" s="61" t="s">
        <v>117</v>
      </c>
      <c r="C46" s="33" t="s">
        <v>6</v>
      </c>
      <c r="D46" s="32"/>
      <c r="E46" s="166"/>
      <c r="F46" s="167"/>
      <c r="G46" s="167"/>
      <c r="H46" s="190"/>
      <c r="I46" s="191"/>
      <c r="J46" s="192"/>
      <c r="K46" s="167"/>
      <c r="L46" s="167"/>
      <c r="M46" s="168"/>
      <c r="N46" s="166"/>
      <c r="O46" s="167"/>
      <c r="P46" s="168"/>
      <c r="Q46" s="167"/>
      <c r="R46" s="167"/>
      <c r="S46" s="168"/>
      <c r="T46" s="166"/>
      <c r="U46" s="167"/>
      <c r="V46" s="168"/>
      <c r="W46" s="167"/>
      <c r="X46" s="167"/>
      <c r="Y46" s="168"/>
      <c r="Z46" s="166"/>
      <c r="AA46" s="167"/>
      <c r="AB46" s="167"/>
      <c r="AC46" s="253"/>
      <c r="AD46" s="169"/>
      <c r="AE46" s="169"/>
      <c r="AF46" s="340"/>
      <c r="AG46" s="358"/>
      <c r="AH46" s="120"/>
      <c r="AI46" s="120"/>
    </row>
    <row r="47" spans="1:35" s="40" customFormat="1" ht="15" customHeight="1" x14ac:dyDescent="0.25">
      <c r="A47" s="25" t="s">
        <v>14</v>
      </c>
      <c r="B47" s="24" t="s">
        <v>34</v>
      </c>
      <c r="C47" s="34" t="s">
        <v>7</v>
      </c>
      <c r="D47" s="74"/>
      <c r="E47" s="124">
        <f t="shared" ref="E47:AB47" si="40">SUM(E48:E48)</f>
        <v>1</v>
      </c>
      <c r="F47" s="125">
        <f t="shared" si="40"/>
        <v>170000</v>
      </c>
      <c r="G47" s="126">
        <f t="shared" si="40"/>
        <v>170000</v>
      </c>
      <c r="H47" s="127">
        <f t="shared" si="40"/>
        <v>1</v>
      </c>
      <c r="I47" s="128">
        <f t="shared" si="40"/>
        <v>176600</v>
      </c>
      <c r="J47" s="129">
        <f t="shared" si="40"/>
        <v>176600</v>
      </c>
      <c r="K47" s="130">
        <f t="shared" si="40"/>
        <v>0</v>
      </c>
      <c r="L47" s="125">
        <f t="shared" si="40"/>
        <v>0</v>
      </c>
      <c r="M47" s="131">
        <f t="shared" si="40"/>
        <v>0</v>
      </c>
      <c r="N47" s="124">
        <f t="shared" si="40"/>
        <v>0</v>
      </c>
      <c r="O47" s="125">
        <f t="shared" si="40"/>
        <v>0</v>
      </c>
      <c r="P47" s="131">
        <f t="shared" si="40"/>
        <v>0</v>
      </c>
      <c r="Q47" s="130">
        <f t="shared" si="40"/>
        <v>0</v>
      </c>
      <c r="R47" s="125">
        <f t="shared" si="40"/>
        <v>0</v>
      </c>
      <c r="S47" s="131">
        <f t="shared" si="40"/>
        <v>0</v>
      </c>
      <c r="T47" s="124">
        <f t="shared" si="40"/>
        <v>0</v>
      </c>
      <c r="U47" s="125">
        <f t="shared" si="40"/>
        <v>0</v>
      </c>
      <c r="V47" s="131">
        <f t="shared" si="40"/>
        <v>0</v>
      </c>
      <c r="W47" s="130">
        <f t="shared" si="40"/>
        <v>0</v>
      </c>
      <c r="X47" s="125">
        <f t="shared" si="40"/>
        <v>0</v>
      </c>
      <c r="Y47" s="131">
        <f t="shared" si="40"/>
        <v>0</v>
      </c>
      <c r="Z47" s="124">
        <f t="shared" si="40"/>
        <v>0</v>
      </c>
      <c r="AA47" s="125">
        <f t="shared" si="40"/>
        <v>0</v>
      </c>
      <c r="AB47" s="131">
        <f t="shared" si="40"/>
        <v>0</v>
      </c>
      <c r="AC47" s="242">
        <f>G47+M47+S47+Y47</f>
        <v>170000</v>
      </c>
      <c r="AD47" s="244">
        <f>J47+P47+V47+AB47</f>
        <v>176600</v>
      </c>
      <c r="AE47" s="244">
        <f>AC47-AD47</f>
        <v>-6600</v>
      </c>
      <c r="AF47" s="335">
        <f t="shared" si="3"/>
        <v>-3.8823529411764708E-2</v>
      </c>
      <c r="AG47" s="354"/>
      <c r="AH47" s="119"/>
      <c r="AI47" s="119"/>
    </row>
    <row r="48" spans="1:35" s="20" customFormat="1" ht="49.5" customHeight="1" thickBot="1" x14ac:dyDescent="0.3">
      <c r="A48" s="47" t="s">
        <v>15</v>
      </c>
      <c r="B48" s="23" t="s">
        <v>44</v>
      </c>
      <c r="C48" s="399" t="s">
        <v>178</v>
      </c>
      <c r="D48" s="80" t="s">
        <v>5</v>
      </c>
      <c r="E48" s="184">
        <v>1</v>
      </c>
      <c r="F48" s="185">
        <v>170000</v>
      </c>
      <c r="G48" s="186">
        <f>E48*F48</f>
        <v>170000</v>
      </c>
      <c r="H48" s="184">
        <v>1</v>
      </c>
      <c r="I48" s="185">
        <f>170000+6600</f>
        <v>176600</v>
      </c>
      <c r="J48" s="187">
        <f>H48*I48</f>
        <v>176600</v>
      </c>
      <c r="K48" s="174"/>
      <c r="L48" s="185"/>
      <c r="M48" s="173">
        <f t="shared" ref="M48" si="41">K48*L48</f>
        <v>0</v>
      </c>
      <c r="N48" s="170"/>
      <c r="O48" s="185"/>
      <c r="P48" s="173">
        <f t="shared" ref="P48" si="42">N48*O48</f>
        <v>0</v>
      </c>
      <c r="Q48" s="174"/>
      <c r="R48" s="185"/>
      <c r="S48" s="173">
        <f t="shared" ref="S48" si="43">Q48*R48</f>
        <v>0</v>
      </c>
      <c r="T48" s="170"/>
      <c r="U48" s="185"/>
      <c r="V48" s="173">
        <f t="shared" ref="V48" si="44">T48*U48</f>
        <v>0</v>
      </c>
      <c r="W48" s="174"/>
      <c r="X48" s="185"/>
      <c r="Y48" s="173">
        <f t="shared" ref="Y48" si="45">W48*X48</f>
        <v>0</v>
      </c>
      <c r="Z48" s="170"/>
      <c r="AA48" s="185"/>
      <c r="AB48" s="173">
        <f t="shared" ref="AB48" si="46">Z48*AA48</f>
        <v>0</v>
      </c>
      <c r="AC48" s="245">
        <f t="shared" ref="AC48" si="47">G48+M48+S48+Y48</f>
        <v>170000</v>
      </c>
      <c r="AD48" s="246">
        <f t="shared" ref="AD48" si="48">J48+P48+V48+AB48</f>
        <v>176600</v>
      </c>
      <c r="AE48" s="255">
        <f t="shared" ref="AE48" si="49">AC48-AD48</f>
        <v>-6600</v>
      </c>
      <c r="AF48" s="336">
        <f t="shared" si="3"/>
        <v>-3.8823529411764708E-2</v>
      </c>
      <c r="AG48" s="355"/>
      <c r="AH48" s="120"/>
      <c r="AI48" s="120"/>
    </row>
    <row r="49" spans="1:35" s="40" customFormat="1" ht="27.75" customHeight="1" x14ac:dyDescent="0.25">
      <c r="A49" s="25" t="s">
        <v>14</v>
      </c>
      <c r="B49" s="24" t="s">
        <v>33</v>
      </c>
      <c r="C49" s="28" t="s">
        <v>41</v>
      </c>
      <c r="D49" s="76"/>
      <c r="E49" s="127">
        <f t="shared" ref="E49:AB49" si="50">SUM(E50:E50)</f>
        <v>1</v>
      </c>
      <c r="F49" s="128">
        <f t="shared" si="50"/>
        <v>45000</v>
      </c>
      <c r="G49" s="156">
        <f t="shared" si="50"/>
        <v>45000</v>
      </c>
      <c r="H49" s="127">
        <f t="shared" si="50"/>
        <v>1</v>
      </c>
      <c r="I49" s="128">
        <f t="shared" si="50"/>
        <v>45000</v>
      </c>
      <c r="J49" s="129">
        <f t="shared" si="50"/>
        <v>45000</v>
      </c>
      <c r="K49" s="157">
        <f t="shared" si="50"/>
        <v>1</v>
      </c>
      <c r="L49" s="128">
        <f t="shared" si="50"/>
        <v>20000</v>
      </c>
      <c r="M49" s="129">
        <f t="shared" si="50"/>
        <v>20000</v>
      </c>
      <c r="N49" s="127">
        <f t="shared" si="50"/>
        <v>1</v>
      </c>
      <c r="O49" s="128">
        <f t="shared" si="50"/>
        <v>20000</v>
      </c>
      <c r="P49" s="129">
        <f t="shared" si="50"/>
        <v>20000</v>
      </c>
      <c r="Q49" s="157">
        <f t="shared" si="50"/>
        <v>0</v>
      </c>
      <c r="R49" s="128">
        <f t="shared" si="50"/>
        <v>0</v>
      </c>
      <c r="S49" s="129">
        <f t="shared" si="50"/>
        <v>0</v>
      </c>
      <c r="T49" s="127">
        <f t="shared" si="50"/>
        <v>0</v>
      </c>
      <c r="U49" s="128">
        <f t="shared" si="50"/>
        <v>0</v>
      </c>
      <c r="V49" s="129">
        <f t="shared" si="50"/>
        <v>0</v>
      </c>
      <c r="W49" s="157">
        <f t="shared" si="50"/>
        <v>0</v>
      </c>
      <c r="X49" s="128">
        <f t="shared" si="50"/>
        <v>0</v>
      </c>
      <c r="Y49" s="129">
        <f t="shared" si="50"/>
        <v>0</v>
      </c>
      <c r="Z49" s="127">
        <f t="shared" si="50"/>
        <v>0</v>
      </c>
      <c r="AA49" s="128">
        <f t="shared" si="50"/>
        <v>0</v>
      </c>
      <c r="AB49" s="129">
        <f t="shared" si="50"/>
        <v>0</v>
      </c>
      <c r="AC49" s="242">
        <f>G49+M49+S49+Y49</f>
        <v>65000</v>
      </c>
      <c r="AD49" s="244">
        <f>J49+P49+V49+AB49</f>
        <v>65000</v>
      </c>
      <c r="AE49" s="244">
        <f>AC49-AD49</f>
        <v>0</v>
      </c>
      <c r="AF49" s="337">
        <f t="shared" si="3"/>
        <v>0</v>
      </c>
      <c r="AG49" s="356"/>
      <c r="AH49" s="119"/>
      <c r="AI49" s="119"/>
    </row>
    <row r="50" spans="1:35" s="20" customFormat="1" ht="49.5" customHeight="1" thickBot="1" x14ac:dyDescent="0.3">
      <c r="A50" s="47" t="s">
        <v>15</v>
      </c>
      <c r="B50" s="23" t="s">
        <v>44</v>
      </c>
      <c r="C50" s="400" t="s">
        <v>179</v>
      </c>
      <c r="D50" s="78" t="s">
        <v>4</v>
      </c>
      <c r="E50" s="170">
        <v>1</v>
      </c>
      <c r="F50" s="171">
        <v>45000</v>
      </c>
      <c r="G50" s="172">
        <f>E50*F50</f>
        <v>45000</v>
      </c>
      <c r="H50" s="170">
        <v>1</v>
      </c>
      <c r="I50" s="171">
        <v>45000</v>
      </c>
      <c r="J50" s="173">
        <f>H50*I50</f>
        <v>45000</v>
      </c>
      <c r="K50" s="174">
        <v>1</v>
      </c>
      <c r="L50" s="171">
        <v>20000</v>
      </c>
      <c r="M50" s="173">
        <f t="shared" ref="M50" si="51">K50*L50</f>
        <v>20000</v>
      </c>
      <c r="N50" s="170">
        <v>1</v>
      </c>
      <c r="O50" s="171">
        <v>20000</v>
      </c>
      <c r="P50" s="173">
        <f t="shared" ref="P50" si="52">N50*O50</f>
        <v>20000</v>
      </c>
      <c r="Q50" s="174"/>
      <c r="R50" s="171"/>
      <c r="S50" s="173">
        <f t="shared" ref="S50" si="53">Q50*R50</f>
        <v>0</v>
      </c>
      <c r="T50" s="170"/>
      <c r="U50" s="171"/>
      <c r="V50" s="173">
        <f t="shared" ref="V50" si="54">T50*U50</f>
        <v>0</v>
      </c>
      <c r="W50" s="174"/>
      <c r="X50" s="171"/>
      <c r="Y50" s="173">
        <f t="shared" ref="Y50" si="55">W50*X50</f>
        <v>0</v>
      </c>
      <c r="Z50" s="170"/>
      <c r="AA50" s="171"/>
      <c r="AB50" s="173">
        <f t="shared" ref="AB50" si="56">Z50*AA50</f>
        <v>0</v>
      </c>
      <c r="AC50" s="245">
        <f t="shared" ref="AC50" si="57">G50+M50+S50+Y50</f>
        <v>65000</v>
      </c>
      <c r="AD50" s="246">
        <f t="shared" ref="AD50" si="58">J50+P50+V50+AB50</f>
        <v>65000</v>
      </c>
      <c r="AE50" s="255">
        <f t="shared" ref="AE50" si="59">AC50-AD50</f>
        <v>0</v>
      </c>
      <c r="AF50" s="336">
        <f t="shared" si="3"/>
        <v>0</v>
      </c>
      <c r="AG50" s="355"/>
      <c r="AH50" s="120"/>
      <c r="AI50" s="120"/>
    </row>
    <row r="51" spans="1:35" s="20" customFormat="1" ht="15" customHeight="1" thickBot="1" x14ac:dyDescent="0.3">
      <c r="A51" s="53" t="s">
        <v>118</v>
      </c>
      <c r="B51" s="27"/>
      <c r="C51" s="89"/>
      <c r="D51" s="79"/>
      <c r="E51" s="163">
        <f>E49+E47</f>
        <v>2</v>
      </c>
      <c r="F51" s="163">
        <f t="shared" ref="F51:AF51" si="60">F49+F47</f>
        <v>215000</v>
      </c>
      <c r="G51" s="163">
        <f t="shared" si="60"/>
        <v>215000</v>
      </c>
      <c r="H51" s="163">
        <f t="shared" si="60"/>
        <v>2</v>
      </c>
      <c r="I51" s="163">
        <f t="shared" si="60"/>
        <v>221600</v>
      </c>
      <c r="J51" s="163">
        <f t="shared" si="60"/>
        <v>221600</v>
      </c>
      <c r="K51" s="163">
        <f t="shared" si="60"/>
        <v>1</v>
      </c>
      <c r="L51" s="163">
        <f t="shared" si="60"/>
        <v>20000</v>
      </c>
      <c r="M51" s="163">
        <f t="shared" si="60"/>
        <v>20000</v>
      </c>
      <c r="N51" s="163">
        <f t="shared" si="60"/>
        <v>1</v>
      </c>
      <c r="O51" s="163">
        <f t="shared" si="60"/>
        <v>20000</v>
      </c>
      <c r="P51" s="163">
        <f t="shared" si="60"/>
        <v>20000</v>
      </c>
      <c r="Q51" s="163">
        <f t="shared" si="60"/>
        <v>0</v>
      </c>
      <c r="R51" s="163">
        <f t="shared" si="60"/>
        <v>0</v>
      </c>
      <c r="S51" s="163">
        <f t="shared" si="60"/>
        <v>0</v>
      </c>
      <c r="T51" s="163">
        <f t="shared" si="60"/>
        <v>0</v>
      </c>
      <c r="U51" s="163">
        <f t="shared" si="60"/>
        <v>0</v>
      </c>
      <c r="V51" s="163">
        <f t="shared" si="60"/>
        <v>0</v>
      </c>
      <c r="W51" s="163">
        <f t="shared" si="60"/>
        <v>0</v>
      </c>
      <c r="X51" s="163">
        <f t="shared" si="60"/>
        <v>0</v>
      </c>
      <c r="Y51" s="163">
        <f t="shared" si="60"/>
        <v>0</v>
      </c>
      <c r="Z51" s="163">
        <f t="shared" si="60"/>
        <v>0</v>
      </c>
      <c r="AA51" s="163">
        <f t="shared" si="60"/>
        <v>0</v>
      </c>
      <c r="AB51" s="163">
        <f t="shared" si="60"/>
        <v>0</v>
      </c>
      <c r="AC51" s="163">
        <f t="shared" si="60"/>
        <v>235000</v>
      </c>
      <c r="AD51" s="163">
        <f t="shared" si="60"/>
        <v>241600</v>
      </c>
      <c r="AE51" s="163">
        <f t="shared" si="60"/>
        <v>-6600</v>
      </c>
      <c r="AF51" s="163">
        <f t="shared" si="60"/>
        <v>-3.8823529411764708E-2</v>
      </c>
      <c r="AG51" s="357"/>
      <c r="AH51" s="120"/>
      <c r="AI51" s="120"/>
    </row>
    <row r="52" spans="1:35" s="20" customFormat="1" ht="15.75" thickBot="1" x14ac:dyDescent="0.3">
      <c r="A52" s="52" t="s">
        <v>43</v>
      </c>
      <c r="B52" s="63" t="s">
        <v>120</v>
      </c>
      <c r="C52" s="33" t="s">
        <v>35</v>
      </c>
      <c r="D52" s="22"/>
      <c r="E52" s="194"/>
      <c r="F52" s="195"/>
      <c r="G52" s="195"/>
      <c r="H52" s="190"/>
      <c r="I52" s="191"/>
      <c r="J52" s="192"/>
      <c r="K52" s="195"/>
      <c r="L52" s="195"/>
      <c r="M52" s="196"/>
      <c r="N52" s="194"/>
      <c r="O52" s="195"/>
      <c r="P52" s="196"/>
      <c r="Q52" s="195"/>
      <c r="R52" s="195"/>
      <c r="S52" s="196"/>
      <c r="T52" s="194"/>
      <c r="U52" s="195"/>
      <c r="V52" s="196"/>
      <c r="W52" s="195"/>
      <c r="X52" s="195"/>
      <c r="Y52" s="196"/>
      <c r="Z52" s="194"/>
      <c r="AA52" s="195"/>
      <c r="AB52" s="195"/>
      <c r="AC52" s="256"/>
      <c r="AD52" s="193"/>
      <c r="AE52" s="193"/>
      <c r="AF52" s="341"/>
      <c r="AG52" s="361"/>
      <c r="AH52" s="120"/>
      <c r="AI52" s="120"/>
    </row>
    <row r="53" spans="1:35" s="40" customFormat="1" ht="24.75" customHeight="1" x14ac:dyDescent="0.25">
      <c r="A53" s="25" t="s">
        <v>14</v>
      </c>
      <c r="B53" s="24" t="s">
        <v>48</v>
      </c>
      <c r="C53" s="90" t="s">
        <v>36</v>
      </c>
      <c r="D53" s="74"/>
      <c r="E53" s="124">
        <f t="shared" ref="E53:AB53" si="61">SUM(E54:E54)</f>
        <v>100</v>
      </c>
      <c r="F53" s="125">
        <f t="shared" si="61"/>
        <v>600</v>
      </c>
      <c r="G53" s="126">
        <f t="shared" si="61"/>
        <v>60000</v>
      </c>
      <c r="H53" s="127">
        <f t="shared" si="61"/>
        <v>100</v>
      </c>
      <c r="I53" s="128">
        <f t="shared" si="61"/>
        <v>600</v>
      </c>
      <c r="J53" s="129">
        <f t="shared" si="61"/>
        <v>60000</v>
      </c>
      <c r="K53" s="130">
        <f t="shared" si="61"/>
        <v>100</v>
      </c>
      <c r="L53" s="125">
        <f t="shared" si="61"/>
        <v>400</v>
      </c>
      <c r="M53" s="131">
        <f t="shared" si="61"/>
        <v>40000</v>
      </c>
      <c r="N53" s="124">
        <f t="shared" si="61"/>
        <v>100</v>
      </c>
      <c r="O53" s="125">
        <f t="shared" si="61"/>
        <v>400</v>
      </c>
      <c r="P53" s="131">
        <f t="shared" si="61"/>
        <v>40000</v>
      </c>
      <c r="Q53" s="130">
        <f t="shared" si="61"/>
        <v>0</v>
      </c>
      <c r="R53" s="125">
        <f t="shared" si="61"/>
        <v>0</v>
      </c>
      <c r="S53" s="131">
        <f t="shared" si="61"/>
        <v>0</v>
      </c>
      <c r="T53" s="124">
        <f t="shared" si="61"/>
        <v>0</v>
      </c>
      <c r="U53" s="125">
        <f t="shared" si="61"/>
        <v>0</v>
      </c>
      <c r="V53" s="131">
        <f t="shared" si="61"/>
        <v>0</v>
      </c>
      <c r="W53" s="130">
        <f t="shared" si="61"/>
        <v>0</v>
      </c>
      <c r="X53" s="125">
        <f t="shared" si="61"/>
        <v>0</v>
      </c>
      <c r="Y53" s="131">
        <f t="shared" si="61"/>
        <v>0</v>
      </c>
      <c r="Z53" s="124">
        <f t="shared" si="61"/>
        <v>0</v>
      </c>
      <c r="AA53" s="125">
        <f t="shared" si="61"/>
        <v>0</v>
      </c>
      <c r="AB53" s="131">
        <f t="shared" si="61"/>
        <v>0</v>
      </c>
      <c r="AC53" s="242">
        <f>G53+M53+S53+Y53</f>
        <v>100000</v>
      </c>
      <c r="AD53" s="244">
        <f>J53+P53+V53+AB53</f>
        <v>100000</v>
      </c>
      <c r="AE53" s="244">
        <f>AC53-AD53</f>
        <v>0</v>
      </c>
      <c r="AF53" s="335">
        <f t="shared" ref="AF53:AF81" si="62">AE53/AC53</f>
        <v>0</v>
      </c>
      <c r="AG53" s="354"/>
      <c r="AH53" s="119"/>
      <c r="AI53" s="119"/>
    </row>
    <row r="54" spans="1:35" s="20" customFormat="1" ht="36" customHeight="1" thickBot="1" x14ac:dyDescent="0.3">
      <c r="A54" s="47" t="s">
        <v>15</v>
      </c>
      <c r="B54" s="23" t="s">
        <v>44</v>
      </c>
      <c r="C54" s="401" t="s">
        <v>180</v>
      </c>
      <c r="D54" s="78" t="s">
        <v>4</v>
      </c>
      <c r="E54" s="170">
        <v>100</v>
      </c>
      <c r="F54" s="171">
        <v>600</v>
      </c>
      <c r="G54" s="172">
        <f>E54*F54</f>
        <v>60000</v>
      </c>
      <c r="H54" s="170">
        <v>100</v>
      </c>
      <c r="I54" s="171">
        <v>600</v>
      </c>
      <c r="J54" s="173">
        <f>H54*I54</f>
        <v>60000</v>
      </c>
      <c r="K54" s="174">
        <v>100</v>
      </c>
      <c r="L54" s="171">
        <v>400</v>
      </c>
      <c r="M54" s="173">
        <f t="shared" ref="M54" si="63">K54*L54</f>
        <v>40000</v>
      </c>
      <c r="N54" s="170">
        <v>100</v>
      </c>
      <c r="O54" s="171">
        <v>400</v>
      </c>
      <c r="P54" s="173">
        <f t="shared" ref="P54" si="64">N54*O54</f>
        <v>40000</v>
      </c>
      <c r="Q54" s="174"/>
      <c r="R54" s="171"/>
      <c r="S54" s="173">
        <f t="shared" ref="S54" si="65">Q54*R54</f>
        <v>0</v>
      </c>
      <c r="T54" s="170"/>
      <c r="U54" s="171"/>
      <c r="V54" s="173">
        <f t="shared" ref="V54" si="66">T54*U54</f>
        <v>0</v>
      </c>
      <c r="W54" s="174"/>
      <c r="X54" s="171"/>
      <c r="Y54" s="173">
        <f t="shared" ref="Y54" si="67">W54*X54</f>
        <v>0</v>
      </c>
      <c r="Z54" s="170"/>
      <c r="AA54" s="171"/>
      <c r="AB54" s="173">
        <f t="shared" ref="AB54" si="68">Z54*AA54</f>
        <v>0</v>
      </c>
      <c r="AC54" s="245">
        <f t="shared" ref="AC54" si="69">G54+M54+S54+Y54</f>
        <v>100000</v>
      </c>
      <c r="AD54" s="246">
        <f t="shared" ref="AD54" si="70">J54+P54+V54+AB54</f>
        <v>100000</v>
      </c>
      <c r="AE54" s="255">
        <f t="shared" ref="AE54" si="71">AC54-AD54</f>
        <v>0</v>
      </c>
      <c r="AF54" s="336">
        <f t="shared" si="62"/>
        <v>0</v>
      </c>
      <c r="AG54" s="355"/>
      <c r="AH54" s="120"/>
      <c r="AI54" s="120"/>
    </row>
    <row r="55" spans="1:35" s="20" customFormat="1" ht="15" customHeight="1" thickBot="1" x14ac:dyDescent="0.3">
      <c r="A55" s="53" t="s">
        <v>121</v>
      </c>
      <c r="B55" s="27"/>
      <c r="C55" s="89"/>
      <c r="D55" s="79"/>
      <c r="E55" s="163">
        <f>E53</f>
        <v>100</v>
      </c>
      <c r="F55" s="163">
        <f t="shared" ref="F55:AF55" si="72">F53</f>
        <v>600</v>
      </c>
      <c r="G55" s="163">
        <f t="shared" si="72"/>
        <v>60000</v>
      </c>
      <c r="H55" s="163">
        <f t="shared" si="72"/>
        <v>100</v>
      </c>
      <c r="I55" s="163">
        <f t="shared" si="72"/>
        <v>600</v>
      </c>
      <c r="J55" s="163">
        <f t="shared" si="72"/>
        <v>60000</v>
      </c>
      <c r="K55" s="163">
        <f t="shared" si="72"/>
        <v>100</v>
      </c>
      <c r="L55" s="163">
        <f t="shared" si="72"/>
        <v>400</v>
      </c>
      <c r="M55" s="163">
        <f t="shared" si="72"/>
        <v>40000</v>
      </c>
      <c r="N55" s="163">
        <f t="shared" si="72"/>
        <v>100</v>
      </c>
      <c r="O55" s="163">
        <f t="shared" si="72"/>
        <v>400</v>
      </c>
      <c r="P55" s="163">
        <f t="shared" si="72"/>
        <v>40000</v>
      </c>
      <c r="Q55" s="163">
        <f t="shared" si="72"/>
        <v>0</v>
      </c>
      <c r="R55" s="163">
        <f t="shared" si="72"/>
        <v>0</v>
      </c>
      <c r="S55" s="163">
        <f t="shared" si="72"/>
        <v>0</v>
      </c>
      <c r="T55" s="163">
        <f t="shared" si="72"/>
        <v>0</v>
      </c>
      <c r="U55" s="163">
        <f t="shared" si="72"/>
        <v>0</v>
      </c>
      <c r="V55" s="163">
        <f t="shared" si="72"/>
        <v>0</v>
      </c>
      <c r="W55" s="163">
        <f t="shared" si="72"/>
        <v>0</v>
      </c>
      <c r="X55" s="163">
        <f t="shared" si="72"/>
        <v>0</v>
      </c>
      <c r="Y55" s="163">
        <f t="shared" si="72"/>
        <v>0</v>
      </c>
      <c r="Z55" s="163">
        <f t="shared" si="72"/>
        <v>0</v>
      </c>
      <c r="AA55" s="163">
        <f t="shared" si="72"/>
        <v>0</v>
      </c>
      <c r="AB55" s="163">
        <f t="shared" si="72"/>
        <v>0</v>
      </c>
      <c r="AC55" s="163">
        <f t="shared" si="72"/>
        <v>100000</v>
      </c>
      <c r="AD55" s="163">
        <f t="shared" si="72"/>
        <v>100000</v>
      </c>
      <c r="AE55" s="163">
        <f t="shared" si="72"/>
        <v>0</v>
      </c>
      <c r="AF55" s="163">
        <f t="shared" si="72"/>
        <v>0</v>
      </c>
      <c r="AG55" s="360"/>
      <c r="AH55" s="120"/>
      <c r="AI55" s="120"/>
    </row>
    <row r="56" spans="1:35" s="20" customFormat="1" ht="15.75" thickBot="1" x14ac:dyDescent="0.3">
      <c r="A56" s="55" t="s">
        <v>43</v>
      </c>
      <c r="B56" s="64" t="s">
        <v>59</v>
      </c>
      <c r="C56" s="33" t="s">
        <v>8</v>
      </c>
      <c r="D56" s="35"/>
      <c r="E56" s="190"/>
      <c r="F56" s="191"/>
      <c r="G56" s="191"/>
      <c r="H56" s="190"/>
      <c r="I56" s="191"/>
      <c r="J56" s="192"/>
      <c r="K56" s="191"/>
      <c r="L56" s="191"/>
      <c r="M56" s="192"/>
      <c r="N56" s="190"/>
      <c r="O56" s="191"/>
      <c r="P56" s="192"/>
      <c r="Q56" s="191"/>
      <c r="R56" s="191"/>
      <c r="S56" s="192"/>
      <c r="T56" s="190"/>
      <c r="U56" s="191"/>
      <c r="V56" s="192"/>
      <c r="W56" s="191"/>
      <c r="X56" s="191"/>
      <c r="Y56" s="192"/>
      <c r="Z56" s="190"/>
      <c r="AA56" s="191"/>
      <c r="AB56" s="191"/>
      <c r="AC56" s="256"/>
      <c r="AD56" s="193"/>
      <c r="AE56" s="193"/>
      <c r="AF56" s="341"/>
      <c r="AG56" s="361"/>
      <c r="AH56" s="120"/>
      <c r="AI56" s="120"/>
    </row>
    <row r="57" spans="1:35" s="40" customFormat="1" x14ac:dyDescent="0.25">
      <c r="A57" s="25" t="s">
        <v>14</v>
      </c>
      <c r="B57" s="24" t="s">
        <v>49</v>
      </c>
      <c r="C57" s="90" t="s">
        <v>16</v>
      </c>
      <c r="D57" s="74"/>
      <c r="E57" s="124">
        <f t="shared" ref="E57:AB57" si="73">SUM(E58:E58)</f>
        <v>1</v>
      </c>
      <c r="F57" s="125">
        <f t="shared" si="73"/>
        <v>13000</v>
      </c>
      <c r="G57" s="126">
        <f t="shared" si="73"/>
        <v>13000</v>
      </c>
      <c r="H57" s="124">
        <f t="shared" si="73"/>
        <v>1</v>
      </c>
      <c r="I57" s="125">
        <f t="shared" si="73"/>
        <v>13000</v>
      </c>
      <c r="J57" s="131">
        <f t="shared" si="73"/>
        <v>13000</v>
      </c>
      <c r="K57" s="130">
        <f t="shared" si="73"/>
        <v>1</v>
      </c>
      <c r="L57" s="125">
        <f t="shared" si="73"/>
        <v>8000</v>
      </c>
      <c r="M57" s="131">
        <f t="shared" si="73"/>
        <v>8000</v>
      </c>
      <c r="N57" s="124">
        <f t="shared" si="73"/>
        <v>1</v>
      </c>
      <c r="O57" s="125">
        <f t="shared" si="73"/>
        <v>8000</v>
      </c>
      <c r="P57" s="131">
        <f t="shared" si="73"/>
        <v>8000</v>
      </c>
      <c r="Q57" s="130">
        <f t="shared" si="73"/>
        <v>0</v>
      </c>
      <c r="R57" s="125">
        <f t="shared" si="73"/>
        <v>0</v>
      </c>
      <c r="S57" s="131">
        <f t="shared" si="73"/>
        <v>0</v>
      </c>
      <c r="T57" s="124">
        <f t="shared" si="73"/>
        <v>0</v>
      </c>
      <c r="U57" s="125">
        <f t="shared" si="73"/>
        <v>0</v>
      </c>
      <c r="V57" s="131">
        <f t="shared" si="73"/>
        <v>0</v>
      </c>
      <c r="W57" s="130">
        <f t="shared" si="73"/>
        <v>0</v>
      </c>
      <c r="X57" s="125">
        <f t="shared" si="73"/>
        <v>0</v>
      </c>
      <c r="Y57" s="131">
        <f t="shared" si="73"/>
        <v>0</v>
      </c>
      <c r="Z57" s="124">
        <f t="shared" si="73"/>
        <v>0</v>
      </c>
      <c r="AA57" s="125">
        <f t="shared" si="73"/>
        <v>0</v>
      </c>
      <c r="AB57" s="131">
        <f t="shared" si="73"/>
        <v>0</v>
      </c>
      <c r="AC57" s="242">
        <f>G57+M57+S57+Y57</f>
        <v>21000</v>
      </c>
      <c r="AD57" s="244">
        <f>J57+P57+V57+AB57</f>
        <v>21000</v>
      </c>
      <c r="AE57" s="244">
        <f>AC57-AD57</f>
        <v>0</v>
      </c>
      <c r="AF57" s="335">
        <f t="shared" si="62"/>
        <v>0</v>
      </c>
      <c r="AG57" s="354"/>
      <c r="AH57" s="119"/>
      <c r="AI57" s="119"/>
    </row>
    <row r="58" spans="1:35" s="20" customFormat="1" ht="69.75" customHeight="1" thickBot="1" x14ac:dyDescent="0.3">
      <c r="A58" s="47" t="s">
        <v>15</v>
      </c>
      <c r="B58" s="23" t="s">
        <v>44</v>
      </c>
      <c r="C58" s="401" t="s">
        <v>181</v>
      </c>
      <c r="D58" s="78" t="s">
        <v>4</v>
      </c>
      <c r="E58" s="170">
        <v>1</v>
      </c>
      <c r="F58" s="171">
        <v>13000</v>
      </c>
      <c r="G58" s="172">
        <f>E58*F58</f>
        <v>13000</v>
      </c>
      <c r="H58" s="170">
        <v>1</v>
      </c>
      <c r="I58" s="171">
        <v>13000</v>
      </c>
      <c r="J58" s="173">
        <f>H58*I58</f>
        <v>13000</v>
      </c>
      <c r="K58" s="174">
        <v>1</v>
      </c>
      <c r="L58" s="171">
        <v>8000</v>
      </c>
      <c r="M58" s="173">
        <f t="shared" ref="M58" si="74">K58*L58</f>
        <v>8000</v>
      </c>
      <c r="N58" s="170">
        <v>1</v>
      </c>
      <c r="O58" s="171">
        <v>8000</v>
      </c>
      <c r="P58" s="173">
        <f t="shared" ref="P58" si="75">N58*O58</f>
        <v>8000</v>
      </c>
      <c r="Q58" s="174"/>
      <c r="R58" s="171"/>
      <c r="S58" s="173">
        <f t="shared" ref="S58" si="76">Q58*R58</f>
        <v>0</v>
      </c>
      <c r="T58" s="170"/>
      <c r="U58" s="171"/>
      <c r="V58" s="173">
        <f t="shared" ref="V58" si="77">T58*U58</f>
        <v>0</v>
      </c>
      <c r="W58" s="174"/>
      <c r="X58" s="171"/>
      <c r="Y58" s="173">
        <f t="shared" ref="Y58" si="78">W58*X58</f>
        <v>0</v>
      </c>
      <c r="Z58" s="170"/>
      <c r="AA58" s="171"/>
      <c r="AB58" s="173">
        <f t="shared" ref="AB58" si="79">Z58*AA58</f>
        <v>0</v>
      </c>
      <c r="AC58" s="245">
        <f t="shared" ref="AC58" si="80">G58+M58+S58+Y58</f>
        <v>21000</v>
      </c>
      <c r="AD58" s="246">
        <f t="shared" ref="AD58" si="81">J58+P58+V58+AB58</f>
        <v>21000</v>
      </c>
      <c r="AE58" s="255">
        <f t="shared" ref="AE58" si="82">AC58-AD58</f>
        <v>0</v>
      </c>
      <c r="AF58" s="336">
        <f t="shared" si="62"/>
        <v>0</v>
      </c>
      <c r="AG58" s="355"/>
      <c r="AH58" s="120"/>
      <c r="AI58" s="120"/>
    </row>
    <row r="59" spans="1:35" s="20" customFormat="1" ht="15" customHeight="1" thickBot="1" x14ac:dyDescent="0.3">
      <c r="A59" s="53" t="s">
        <v>122</v>
      </c>
      <c r="B59" s="27"/>
      <c r="C59" s="89"/>
      <c r="D59" s="79"/>
      <c r="E59" s="163">
        <f t="shared" ref="E59:AB59" si="83">E57</f>
        <v>1</v>
      </c>
      <c r="F59" s="181">
        <f t="shared" si="83"/>
        <v>13000</v>
      </c>
      <c r="G59" s="182">
        <f t="shared" si="83"/>
        <v>13000</v>
      </c>
      <c r="H59" s="142">
        <f t="shared" si="83"/>
        <v>1</v>
      </c>
      <c r="I59" s="144">
        <f t="shared" si="83"/>
        <v>13000</v>
      </c>
      <c r="J59" s="145">
        <f t="shared" si="83"/>
        <v>13000</v>
      </c>
      <c r="K59" s="164">
        <f t="shared" si="83"/>
        <v>1</v>
      </c>
      <c r="L59" s="181">
        <f t="shared" si="83"/>
        <v>8000</v>
      </c>
      <c r="M59" s="183">
        <f t="shared" si="83"/>
        <v>8000</v>
      </c>
      <c r="N59" s="163">
        <f t="shared" si="83"/>
        <v>1</v>
      </c>
      <c r="O59" s="181">
        <f t="shared" si="83"/>
        <v>8000</v>
      </c>
      <c r="P59" s="183">
        <f t="shared" si="83"/>
        <v>8000</v>
      </c>
      <c r="Q59" s="164">
        <f t="shared" si="83"/>
        <v>0</v>
      </c>
      <c r="R59" s="181">
        <f t="shared" si="83"/>
        <v>0</v>
      </c>
      <c r="S59" s="183">
        <f t="shared" si="83"/>
        <v>0</v>
      </c>
      <c r="T59" s="163">
        <f t="shared" si="83"/>
        <v>0</v>
      </c>
      <c r="U59" s="181">
        <f t="shared" si="83"/>
        <v>0</v>
      </c>
      <c r="V59" s="183">
        <f t="shared" si="83"/>
        <v>0</v>
      </c>
      <c r="W59" s="164">
        <f t="shared" si="83"/>
        <v>0</v>
      </c>
      <c r="X59" s="181">
        <f t="shared" si="83"/>
        <v>0</v>
      </c>
      <c r="Y59" s="183">
        <f t="shared" si="83"/>
        <v>0</v>
      </c>
      <c r="Z59" s="163">
        <f t="shared" si="83"/>
        <v>0</v>
      </c>
      <c r="AA59" s="181">
        <f t="shared" si="83"/>
        <v>0</v>
      </c>
      <c r="AB59" s="183">
        <f t="shared" si="83"/>
        <v>0</v>
      </c>
      <c r="AC59" s="163">
        <f>G59+M59+S59+Y59</f>
        <v>21000</v>
      </c>
      <c r="AD59" s="165">
        <f>J59+P59+V59+AB59</f>
        <v>21000</v>
      </c>
      <c r="AE59" s="183">
        <f t="shared" ref="AE59" si="84">AC59-AD59</f>
        <v>0</v>
      </c>
      <c r="AF59" s="342">
        <f t="shared" si="62"/>
        <v>0</v>
      </c>
      <c r="AG59" s="359"/>
      <c r="AH59" s="120"/>
      <c r="AI59" s="120"/>
    </row>
    <row r="60" spans="1:35" s="20" customFormat="1" ht="30" customHeight="1" thickBot="1" x14ac:dyDescent="0.3">
      <c r="A60" s="55" t="s">
        <v>43</v>
      </c>
      <c r="B60" s="64" t="s">
        <v>123</v>
      </c>
      <c r="C60" s="91" t="s">
        <v>63</v>
      </c>
      <c r="D60" s="108"/>
      <c r="E60" s="197"/>
      <c r="F60" s="198"/>
      <c r="G60" s="198"/>
      <c r="H60" s="197"/>
      <c r="I60" s="198"/>
      <c r="J60" s="198"/>
      <c r="K60" s="198"/>
      <c r="L60" s="198"/>
      <c r="M60" s="199"/>
      <c r="N60" s="197"/>
      <c r="O60" s="198"/>
      <c r="P60" s="199"/>
      <c r="Q60" s="198"/>
      <c r="R60" s="198"/>
      <c r="S60" s="199"/>
      <c r="T60" s="197"/>
      <c r="U60" s="198"/>
      <c r="V60" s="199"/>
      <c r="W60" s="198"/>
      <c r="X60" s="198"/>
      <c r="Y60" s="199"/>
      <c r="Z60" s="197"/>
      <c r="AA60" s="198"/>
      <c r="AB60" s="198"/>
      <c r="AC60" s="258"/>
      <c r="AD60" s="207"/>
      <c r="AE60" s="207"/>
      <c r="AF60" s="343"/>
      <c r="AG60" s="362"/>
      <c r="AH60" s="120"/>
      <c r="AI60" s="120"/>
    </row>
    <row r="61" spans="1:35" s="20" customFormat="1" ht="64.5" thickBot="1" x14ac:dyDescent="0.25">
      <c r="A61" s="68" t="s">
        <v>15</v>
      </c>
      <c r="B61" s="69" t="s">
        <v>44</v>
      </c>
      <c r="C61" s="379" t="s">
        <v>182</v>
      </c>
      <c r="D61" s="410" t="s">
        <v>184</v>
      </c>
      <c r="E61" s="205">
        <v>5</v>
      </c>
      <c r="F61" s="202">
        <v>22300</v>
      </c>
      <c r="G61" s="203">
        <f>E61*F61</f>
        <v>111500</v>
      </c>
      <c r="H61" s="201">
        <v>5</v>
      </c>
      <c r="I61" s="202">
        <v>28365</v>
      </c>
      <c r="J61" s="204">
        <f>H61*I61</f>
        <v>141825</v>
      </c>
      <c r="K61" s="201"/>
      <c r="L61" s="202"/>
      <c r="M61" s="204">
        <f t="shared" ref="M61:M66" si="85">K61*L61</f>
        <v>0</v>
      </c>
      <c r="N61" s="205"/>
      <c r="O61" s="202"/>
      <c r="P61" s="204">
        <f t="shared" ref="P61:P66" si="86">N61*O61</f>
        <v>0</v>
      </c>
      <c r="Q61" s="205"/>
      <c r="R61" s="202"/>
      <c r="S61" s="204">
        <f t="shared" ref="S61:S64" si="87">Q61*R61</f>
        <v>0</v>
      </c>
      <c r="T61" s="201"/>
      <c r="U61" s="202"/>
      <c r="V61" s="204">
        <f t="shared" ref="V61:V64" si="88">T61*U61</f>
        <v>0</v>
      </c>
      <c r="W61" s="205"/>
      <c r="X61" s="202"/>
      <c r="Y61" s="204">
        <f t="shared" ref="Y61:Y64" si="89">W61*X61</f>
        <v>0</v>
      </c>
      <c r="Z61" s="201"/>
      <c r="AA61" s="202"/>
      <c r="AB61" s="204">
        <f t="shared" ref="AB61:AB64" si="90">Z61*AA61</f>
        <v>0</v>
      </c>
      <c r="AC61" s="241">
        <f t="shared" ref="AC61:AC66" si="91">G61+M61+S61+Y61</f>
        <v>111500</v>
      </c>
      <c r="AD61" s="259">
        <f t="shared" ref="AD61:AD66" si="92">J61+P61+V61+AB61</f>
        <v>141825</v>
      </c>
      <c r="AE61" s="260">
        <f t="shared" ref="AE61:AE66" si="93">AC61-AD61</f>
        <v>-30325</v>
      </c>
      <c r="AF61" s="344">
        <f t="shared" si="62"/>
        <v>-0.27197309417040361</v>
      </c>
      <c r="AG61" s="883" t="s">
        <v>515</v>
      </c>
      <c r="AH61" s="120"/>
      <c r="AI61" s="120"/>
    </row>
    <row r="62" spans="1:35" s="20" customFormat="1" ht="49.5" customHeight="1" x14ac:dyDescent="0.25">
      <c r="A62" s="47" t="s">
        <v>15</v>
      </c>
      <c r="B62" s="67" t="s">
        <v>45</v>
      </c>
      <c r="C62" s="379" t="s">
        <v>183</v>
      </c>
      <c r="D62" s="411" t="s">
        <v>185</v>
      </c>
      <c r="E62" s="136">
        <v>1</v>
      </c>
      <c r="F62" s="133">
        <v>46000</v>
      </c>
      <c r="G62" s="172">
        <f t="shared" ref="G62:G63" si="94">E62*F62</f>
        <v>46000</v>
      </c>
      <c r="H62" s="132">
        <v>1</v>
      </c>
      <c r="I62" s="133">
        <f>19000+12000+10350</f>
        <v>41350</v>
      </c>
      <c r="J62" s="173">
        <f t="shared" ref="J62:J63" si="95">H62*I62</f>
        <v>41350</v>
      </c>
      <c r="K62" s="132"/>
      <c r="L62" s="133"/>
      <c r="M62" s="173">
        <f t="shared" si="85"/>
        <v>0</v>
      </c>
      <c r="N62" s="136"/>
      <c r="O62" s="133"/>
      <c r="P62" s="173">
        <f t="shared" si="86"/>
        <v>0</v>
      </c>
      <c r="Q62" s="136"/>
      <c r="R62" s="133"/>
      <c r="S62" s="173">
        <f t="shared" si="87"/>
        <v>0</v>
      </c>
      <c r="T62" s="132"/>
      <c r="U62" s="133"/>
      <c r="V62" s="173">
        <f t="shared" si="88"/>
        <v>0</v>
      </c>
      <c r="W62" s="136"/>
      <c r="X62" s="133"/>
      <c r="Y62" s="173">
        <f t="shared" si="89"/>
        <v>0</v>
      </c>
      <c r="Z62" s="132"/>
      <c r="AA62" s="133"/>
      <c r="AB62" s="173">
        <f t="shared" si="90"/>
        <v>0</v>
      </c>
      <c r="AC62" s="245">
        <f t="shared" si="91"/>
        <v>46000</v>
      </c>
      <c r="AD62" s="246">
        <f t="shared" si="92"/>
        <v>41350</v>
      </c>
      <c r="AE62" s="255">
        <f t="shared" si="93"/>
        <v>4650</v>
      </c>
      <c r="AF62" s="345">
        <f t="shared" si="62"/>
        <v>0.10108695652173913</v>
      </c>
      <c r="AG62" s="882"/>
      <c r="AH62" s="120"/>
      <c r="AI62" s="120"/>
    </row>
    <row r="63" spans="1:35" s="20" customFormat="1" ht="41.25" customHeight="1" x14ac:dyDescent="0.25">
      <c r="A63" s="47" t="s">
        <v>15</v>
      </c>
      <c r="B63" s="67" t="s">
        <v>46</v>
      </c>
      <c r="C63" s="379" t="s">
        <v>186</v>
      </c>
      <c r="D63" s="412" t="s">
        <v>168</v>
      </c>
      <c r="E63" s="136">
        <v>4</v>
      </c>
      <c r="F63" s="133">
        <v>1400</v>
      </c>
      <c r="G63" s="172">
        <f t="shared" si="94"/>
        <v>5600</v>
      </c>
      <c r="H63" s="132">
        <v>4</v>
      </c>
      <c r="I63" s="133">
        <v>1400</v>
      </c>
      <c r="J63" s="173">
        <f t="shared" si="95"/>
        <v>5600</v>
      </c>
      <c r="K63" s="132"/>
      <c r="L63" s="133"/>
      <c r="M63" s="173">
        <f t="shared" si="85"/>
        <v>0</v>
      </c>
      <c r="N63" s="136"/>
      <c r="O63" s="133"/>
      <c r="P63" s="173">
        <f t="shared" si="86"/>
        <v>0</v>
      </c>
      <c r="Q63" s="136"/>
      <c r="R63" s="133"/>
      <c r="S63" s="173">
        <f t="shared" si="87"/>
        <v>0</v>
      </c>
      <c r="T63" s="132"/>
      <c r="U63" s="133"/>
      <c r="V63" s="173">
        <f t="shared" si="88"/>
        <v>0</v>
      </c>
      <c r="W63" s="136"/>
      <c r="X63" s="133"/>
      <c r="Y63" s="173">
        <f t="shared" si="89"/>
        <v>0</v>
      </c>
      <c r="Z63" s="132"/>
      <c r="AA63" s="133"/>
      <c r="AB63" s="173">
        <f t="shared" si="90"/>
        <v>0</v>
      </c>
      <c r="AC63" s="245">
        <f t="shared" si="91"/>
        <v>5600</v>
      </c>
      <c r="AD63" s="246">
        <f t="shared" si="92"/>
        <v>5600</v>
      </c>
      <c r="AE63" s="255">
        <f t="shared" si="93"/>
        <v>0</v>
      </c>
      <c r="AF63" s="345">
        <f t="shared" si="62"/>
        <v>0</v>
      </c>
      <c r="AG63" s="364"/>
      <c r="AH63" s="120"/>
      <c r="AI63" s="120"/>
    </row>
    <row r="64" spans="1:35" s="20" customFormat="1" ht="30" customHeight="1" thickBot="1" x14ac:dyDescent="0.3">
      <c r="A64" s="47" t="s">
        <v>15</v>
      </c>
      <c r="B64" s="67" t="s">
        <v>50</v>
      </c>
      <c r="C64" s="379" t="s">
        <v>187</v>
      </c>
      <c r="D64" s="412" t="s">
        <v>168</v>
      </c>
      <c r="E64" s="136">
        <v>4</v>
      </c>
      <c r="F64" s="133">
        <v>2000</v>
      </c>
      <c r="G64" s="134">
        <f>E64*F64</f>
        <v>8000</v>
      </c>
      <c r="H64" s="132">
        <v>4</v>
      </c>
      <c r="I64" s="133">
        <v>2000</v>
      </c>
      <c r="J64" s="135">
        <f>H64*I64</f>
        <v>8000</v>
      </c>
      <c r="K64" s="132"/>
      <c r="L64" s="133"/>
      <c r="M64" s="135">
        <f t="shared" si="85"/>
        <v>0</v>
      </c>
      <c r="N64" s="136"/>
      <c r="O64" s="133"/>
      <c r="P64" s="133">
        <f t="shared" si="86"/>
        <v>0</v>
      </c>
      <c r="Q64" s="162"/>
      <c r="R64" s="159"/>
      <c r="S64" s="161">
        <f t="shared" si="87"/>
        <v>0</v>
      </c>
      <c r="T64" s="158"/>
      <c r="U64" s="159"/>
      <c r="V64" s="161">
        <f t="shared" si="88"/>
        <v>0</v>
      </c>
      <c r="W64" s="162"/>
      <c r="X64" s="159"/>
      <c r="Y64" s="161">
        <f t="shared" si="89"/>
        <v>0</v>
      </c>
      <c r="Z64" s="158"/>
      <c r="AA64" s="159"/>
      <c r="AB64" s="161">
        <f t="shared" si="90"/>
        <v>0</v>
      </c>
      <c r="AC64" s="247">
        <f t="shared" si="91"/>
        <v>8000</v>
      </c>
      <c r="AD64" s="248">
        <f t="shared" si="92"/>
        <v>8000</v>
      </c>
      <c r="AE64" s="213">
        <f t="shared" si="93"/>
        <v>0</v>
      </c>
      <c r="AF64" s="345">
        <f t="shared" si="62"/>
        <v>0</v>
      </c>
      <c r="AG64" s="364"/>
      <c r="AH64" s="120"/>
      <c r="AI64" s="120"/>
    </row>
    <row r="65" spans="1:35" s="20" customFormat="1" ht="30" customHeight="1" x14ac:dyDescent="0.25">
      <c r="A65" s="47" t="s">
        <v>15</v>
      </c>
      <c r="B65" s="67" t="s">
        <v>51</v>
      </c>
      <c r="C65" s="379" t="s">
        <v>188</v>
      </c>
      <c r="D65" s="412" t="s">
        <v>184</v>
      </c>
      <c r="E65" s="136">
        <v>3</v>
      </c>
      <c r="F65" s="133">
        <v>540</v>
      </c>
      <c r="G65" s="134">
        <f t="shared" ref="G65:G66" si="96">E65*F65</f>
        <v>1620</v>
      </c>
      <c r="H65" s="132">
        <v>3</v>
      </c>
      <c r="I65" s="133">
        <f>(427.07+414.09+416.39)/3</f>
        <v>419.18333333333334</v>
      </c>
      <c r="J65" s="135">
        <f t="shared" ref="J65:J66" si="97">H65*I65</f>
        <v>1257.55</v>
      </c>
      <c r="K65" s="132"/>
      <c r="L65" s="133"/>
      <c r="M65" s="135">
        <f t="shared" si="85"/>
        <v>0</v>
      </c>
      <c r="N65" s="136"/>
      <c r="O65" s="133"/>
      <c r="P65" s="133">
        <f t="shared" si="86"/>
        <v>0</v>
      </c>
      <c r="Q65" s="404"/>
      <c r="R65" s="403"/>
      <c r="S65" s="405"/>
      <c r="T65" s="402"/>
      <c r="U65" s="403"/>
      <c r="V65" s="405"/>
      <c r="W65" s="404"/>
      <c r="X65" s="403"/>
      <c r="Y65" s="405"/>
      <c r="Z65" s="402"/>
      <c r="AA65" s="403"/>
      <c r="AB65" s="405"/>
      <c r="AC65" s="247">
        <f t="shared" si="91"/>
        <v>1620</v>
      </c>
      <c r="AD65" s="248">
        <f t="shared" si="92"/>
        <v>1257.55</v>
      </c>
      <c r="AE65" s="213">
        <f t="shared" si="93"/>
        <v>362.45000000000005</v>
      </c>
      <c r="AF65" s="345">
        <f t="shared" si="62"/>
        <v>0.22373456790123458</v>
      </c>
      <c r="AG65" s="368"/>
      <c r="AH65" s="120"/>
      <c r="AI65" s="120"/>
    </row>
    <row r="66" spans="1:35" s="20" customFormat="1" ht="52.5" customHeight="1" thickBot="1" x14ac:dyDescent="0.3">
      <c r="A66" s="51" t="s">
        <v>15</v>
      </c>
      <c r="B66" s="406" t="s">
        <v>52</v>
      </c>
      <c r="C66" s="486" t="s">
        <v>189</v>
      </c>
      <c r="D66" s="487" t="s">
        <v>184</v>
      </c>
      <c r="E66" s="141">
        <v>1</v>
      </c>
      <c r="F66" s="138">
        <v>3000</v>
      </c>
      <c r="G66" s="139">
        <f t="shared" si="96"/>
        <v>3000</v>
      </c>
      <c r="H66" s="137">
        <v>1</v>
      </c>
      <c r="I66" s="138">
        <v>626.5</v>
      </c>
      <c r="J66" s="140">
        <f t="shared" si="97"/>
        <v>626.5</v>
      </c>
      <c r="K66" s="137"/>
      <c r="L66" s="138"/>
      <c r="M66" s="140">
        <f t="shared" si="85"/>
        <v>0</v>
      </c>
      <c r="N66" s="141"/>
      <c r="O66" s="138"/>
      <c r="P66" s="138">
        <f t="shared" si="86"/>
        <v>0</v>
      </c>
      <c r="Q66" s="404"/>
      <c r="R66" s="403"/>
      <c r="S66" s="405"/>
      <c r="T66" s="402"/>
      <c r="U66" s="403"/>
      <c r="V66" s="405"/>
      <c r="W66" s="404"/>
      <c r="X66" s="403"/>
      <c r="Y66" s="405"/>
      <c r="Z66" s="402"/>
      <c r="AA66" s="403"/>
      <c r="AB66" s="405"/>
      <c r="AC66" s="247">
        <f t="shared" si="91"/>
        <v>3000</v>
      </c>
      <c r="AD66" s="248">
        <f t="shared" si="92"/>
        <v>626.5</v>
      </c>
      <c r="AE66" s="213">
        <f t="shared" si="93"/>
        <v>2373.5</v>
      </c>
      <c r="AF66" s="349">
        <f t="shared" si="62"/>
        <v>0.79116666666666668</v>
      </c>
      <c r="AG66" s="368"/>
      <c r="AH66" s="120"/>
      <c r="AI66" s="120"/>
    </row>
    <row r="67" spans="1:35" s="20" customFormat="1" ht="15" customHeight="1" thickBot="1" x14ac:dyDescent="0.3">
      <c r="A67" s="53" t="s">
        <v>124</v>
      </c>
      <c r="B67" s="27"/>
      <c r="C67" s="407"/>
      <c r="D67" s="408"/>
      <c r="E67" s="142">
        <f>SUM(E61:E66)</f>
        <v>18</v>
      </c>
      <c r="F67" s="144">
        <f>SUM(F61:F66)</f>
        <v>75240</v>
      </c>
      <c r="G67" s="409">
        <f>SUM(G61:G66)</f>
        <v>175720</v>
      </c>
      <c r="H67" s="409">
        <f t="shared" ref="H67:AE67" si="98">SUM(H61:H66)</f>
        <v>18</v>
      </c>
      <c r="I67" s="409">
        <f t="shared" si="98"/>
        <v>74160.683333333334</v>
      </c>
      <c r="J67" s="409">
        <f t="shared" si="98"/>
        <v>198659.05</v>
      </c>
      <c r="K67" s="409">
        <f t="shared" si="98"/>
        <v>0</v>
      </c>
      <c r="L67" s="409">
        <f t="shared" si="98"/>
        <v>0</v>
      </c>
      <c r="M67" s="409">
        <f t="shared" si="98"/>
        <v>0</v>
      </c>
      <c r="N67" s="409">
        <f t="shared" si="98"/>
        <v>0</v>
      </c>
      <c r="O67" s="409">
        <f t="shared" si="98"/>
        <v>0</v>
      </c>
      <c r="P67" s="409">
        <f t="shared" si="98"/>
        <v>0</v>
      </c>
      <c r="Q67" s="409">
        <f t="shared" si="98"/>
        <v>0</v>
      </c>
      <c r="R67" s="409">
        <f t="shared" si="98"/>
        <v>0</v>
      </c>
      <c r="S67" s="409">
        <f t="shared" si="98"/>
        <v>0</v>
      </c>
      <c r="T67" s="409">
        <f t="shared" si="98"/>
        <v>0</v>
      </c>
      <c r="U67" s="409">
        <f t="shared" si="98"/>
        <v>0</v>
      </c>
      <c r="V67" s="409">
        <f t="shared" si="98"/>
        <v>0</v>
      </c>
      <c r="W67" s="409">
        <f t="shared" si="98"/>
        <v>0</v>
      </c>
      <c r="X67" s="409">
        <f t="shared" si="98"/>
        <v>0</v>
      </c>
      <c r="Y67" s="409">
        <f t="shared" si="98"/>
        <v>0</v>
      </c>
      <c r="Z67" s="409">
        <f t="shared" si="98"/>
        <v>0</v>
      </c>
      <c r="AA67" s="409">
        <f t="shared" si="98"/>
        <v>0</v>
      </c>
      <c r="AB67" s="409">
        <f t="shared" si="98"/>
        <v>0</v>
      </c>
      <c r="AC67" s="409">
        <f t="shared" si="98"/>
        <v>175720</v>
      </c>
      <c r="AD67" s="409">
        <f t="shared" si="98"/>
        <v>198659.05</v>
      </c>
      <c r="AE67" s="409">
        <f t="shared" si="98"/>
        <v>-22939.05</v>
      </c>
      <c r="AF67" s="339">
        <f t="shared" si="62"/>
        <v>-0.13054319371727749</v>
      </c>
      <c r="AG67" s="357"/>
      <c r="AH67" s="120"/>
      <c r="AI67" s="120"/>
    </row>
    <row r="68" spans="1:35" s="20" customFormat="1" ht="15" customHeight="1" thickBot="1" x14ac:dyDescent="0.3">
      <c r="A68" s="55" t="s">
        <v>43</v>
      </c>
      <c r="B68" s="65" t="s">
        <v>60</v>
      </c>
      <c r="C68" s="33" t="s">
        <v>65</v>
      </c>
      <c r="D68" s="36"/>
      <c r="E68" s="166"/>
      <c r="F68" s="167"/>
      <c r="G68" s="167"/>
      <c r="H68" s="166"/>
      <c r="I68" s="167"/>
      <c r="J68" s="168"/>
      <c r="K68" s="167"/>
      <c r="L68" s="167"/>
      <c r="M68" s="168"/>
      <c r="N68" s="166"/>
      <c r="O68" s="167"/>
      <c r="P68" s="168"/>
      <c r="Q68" s="167"/>
      <c r="R68" s="167"/>
      <c r="S68" s="168"/>
      <c r="T68" s="166"/>
      <c r="U68" s="167"/>
      <c r="V68" s="168"/>
      <c r="W68" s="167"/>
      <c r="X68" s="167"/>
      <c r="Y68" s="168"/>
      <c r="Z68" s="166"/>
      <c r="AA68" s="167"/>
      <c r="AB68" s="167"/>
      <c r="AC68" s="258"/>
      <c r="AD68" s="207"/>
      <c r="AE68" s="207"/>
      <c r="AF68" s="343"/>
      <c r="AG68" s="362"/>
      <c r="AH68" s="120"/>
      <c r="AI68" s="120"/>
    </row>
    <row r="69" spans="1:35" s="20" customFormat="1" ht="104.25" customHeight="1" thickBot="1" x14ac:dyDescent="0.3">
      <c r="A69" s="56" t="s">
        <v>15</v>
      </c>
      <c r="B69" s="21" t="s">
        <v>44</v>
      </c>
      <c r="C69" s="381" t="s">
        <v>190</v>
      </c>
      <c r="D69" s="71" t="s">
        <v>9</v>
      </c>
      <c r="E69" s="208">
        <v>1</v>
      </c>
      <c r="F69" s="209">
        <v>50000</v>
      </c>
      <c r="G69" s="210">
        <f>E69*F69</f>
        <v>50000</v>
      </c>
      <c r="H69" s="201">
        <v>1</v>
      </c>
      <c r="I69" s="202">
        <v>50000</v>
      </c>
      <c r="J69" s="204">
        <f>H69*I69</f>
        <v>50000</v>
      </c>
      <c r="K69" s="211">
        <v>1</v>
      </c>
      <c r="L69" s="209">
        <v>40000</v>
      </c>
      <c r="M69" s="212">
        <f t="shared" ref="M69" si="99">K69*L69</f>
        <v>40000</v>
      </c>
      <c r="N69" s="208">
        <v>1</v>
      </c>
      <c r="O69" s="209">
        <v>40000</v>
      </c>
      <c r="P69" s="212">
        <f t="shared" ref="P69" si="100">N69*O69</f>
        <v>40000</v>
      </c>
      <c r="Q69" s="211"/>
      <c r="R69" s="209"/>
      <c r="S69" s="212">
        <f t="shared" ref="S69" si="101">Q69*R69</f>
        <v>0</v>
      </c>
      <c r="T69" s="208"/>
      <c r="U69" s="209"/>
      <c r="V69" s="212">
        <f t="shared" ref="V69" si="102">T69*U69</f>
        <v>0</v>
      </c>
      <c r="W69" s="211"/>
      <c r="X69" s="209"/>
      <c r="Y69" s="212">
        <f t="shared" ref="Y69" si="103">W69*X69</f>
        <v>0</v>
      </c>
      <c r="Z69" s="208"/>
      <c r="AA69" s="209"/>
      <c r="AB69" s="212">
        <f t="shared" ref="AB69" si="104">Z69*AA69</f>
        <v>0</v>
      </c>
      <c r="AC69" s="241">
        <f t="shared" ref="AC69" si="105">G69+M69+S69+Y69</f>
        <v>90000</v>
      </c>
      <c r="AD69" s="259">
        <f t="shared" ref="AD69" si="106">J69+P69+V69+AB69</f>
        <v>90000</v>
      </c>
      <c r="AE69" s="260">
        <f t="shared" ref="AE69:AE70" si="107">AC69-AD69</f>
        <v>0</v>
      </c>
      <c r="AF69" s="344">
        <f t="shared" si="62"/>
        <v>0</v>
      </c>
      <c r="AG69" s="363"/>
      <c r="AH69" s="120"/>
      <c r="AI69" s="120"/>
    </row>
    <row r="70" spans="1:35" s="20" customFormat="1" ht="15" customHeight="1" thickBot="1" x14ac:dyDescent="0.3">
      <c r="A70" s="53" t="s">
        <v>125</v>
      </c>
      <c r="B70" s="27"/>
      <c r="C70" s="89"/>
      <c r="D70" s="79"/>
      <c r="E70" s="163">
        <f t="shared" ref="E70:AB70" si="108">SUM(E69:E69)</f>
        <v>1</v>
      </c>
      <c r="F70" s="181">
        <f t="shared" si="108"/>
        <v>50000</v>
      </c>
      <c r="G70" s="182">
        <f t="shared" si="108"/>
        <v>50000</v>
      </c>
      <c r="H70" s="142">
        <f t="shared" si="108"/>
        <v>1</v>
      </c>
      <c r="I70" s="144">
        <f t="shared" si="108"/>
        <v>50000</v>
      </c>
      <c r="J70" s="145">
        <f t="shared" si="108"/>
        <v>50000</v>
      </c>
      <c r="K70" s="164">
        <f t="shared" si="108"/>
        <v>1</v>
      </c>
      <c r="L70" s="181">
        <f t="shared" si="108"/>
        <v>40000</v>
      </c>
      <c r="M70" s="183">
        <f t="shared" si="108"/>
        <v>40000</v>
      </c>
      <c r="N70" s="163">
        <f t="shared" si="108"/>
        <v>1</v>
      </c>
      <c r="O70" s="181">
        <f t="shared" si="108"/>
        <v>40000</v>
      </c>
      <c r="P70" s="183">
        <f t="shared" si="108"/>
        <v>40000</v>
      </c>
      <c r="Q70" s="164">
        <f t="shared" si="108"/>
        <v>0</v>
      </c>
      <c r="R70" s="181">
        <f t="shared" si="108"/>
        <v>0</v>
      </c>
      <c r="S70" s="183">
        <f t="shared" si="108"/>
        <v>0</v>
      </c>
      <c r="T70" s="163">
        <f t="shared" si="108"/>
        <v>0</v>
      </c>
      <c r="U70" s="181">
        <f t="shared" si="108"/>
        <v>0</v>
      </c>
      <c r="V70" s="183">
        <f t="shared" si="108"/>
        <v>0</v>
      </c>
      <c r="W70" s="164">
        <f t="shared" si="108"/>
        <v>0</v>
      </c>
      <c r="X70" s="181">
        <f t="shared" si="108"/>
        <v>0</v>
      </c>
      <c r="Y70" s="183">
        <f t="shared" si="108"/>
        <v>0</v>
      </c>
      <c r="Z70" s="163">
        <f t="shared" si="108"/>
        <v>0</v>
      </c>
      <c r="AA70" s="181">
        <f t="shared" si="108"/>
        <v>0</v>
      </c>
      <c r="AB70" s="183">
        <f t="shared" si="108"/>
        <v>0</v>
      </c>
      <c r="AC70" s="142">
        <f>G70+M70+S70+Y70</f>
        <v>90000</v>
      </c>
      <c r="AD70" s="254">
        <f>J70+P70+V70+AB70</f>
        <v>90000</v>
      </c>
      <c r="AE70" s="145">
        <f t="shared" si="107"/>
        <v>0</v>
      </c>
      <c r="AF70" s="346">
        <f t="shared" si="62"/>
        <v>0</v>
      </c>
      <c r="AG70" s="365"/>
      <c r="AH70" s="120"/>
      <c r="AI70" s="120"/>
    </row>
    <row r="71" spans="1:35" s="20" customFormat="1" ht="15.75" thickBot="1" x14ac:dyDescent="0.3">
      <c r="A71" s="54" t="s">
        <v>43</v>
      </c>
      <c r="B71" s="64" t="s">
        <v>61</v>
      </c>
      <c r="C71" s="91" t="s">
        <v>10</v>
      </c>
      <c r="D71" s="66"/>
      <c r="E71" s="215"/>
      <c r="F71" s="216"/>
      <c r="G71" s="216"/>
      <c r="H71" s="215"/>
      <c r="I71" s="216"/>
      <c r="J71" s="216"/>
      <c r="K71" s="216"/>
      <c r="L71" s="216"/>
      <c r="M71" s="217"/>
      <c r="N71" s="215"/>
      <c r="O71" s="216"/>
      <c r="P71" s="217"/>
      <c r="Q71" s="216"/>
      <c r="R71" s="216"/>
      <c r="S71" s="217"/>
      <c r="T71" s="215"/>
      <c r="U71" s="216"/>
      <c r="V71" s="217"/>
      <c r="W71" s="216"/>
      <c r="X71" s="216"/>
      <c r="Y71" s="217"/>
      <c r="Z71" s="215"/>
      <c r="AA71" s="216"/>
      <c r="AB71" s="217"/>
      <c r="AC71" s="261"/>
      <c r="AD71" s="200"/>
      <c r="AE71" s="200"/>
      <c r="AF71" s="343"/>
      <c r="AG71" s="362"/>
      <c r="AH71" s="120"/>
      <c r="AI71" s="120"/>
    </row>
    <row r="72" spans="1:35" s="20" customFormat="1" ht="81.75" customHeight="1" x14ac:dyDescent="0.25">
      <c r="A72" s="418" t="s">
        <v>15</v>
      </c>
      <c r="B72" s="419" t="s">
        <v>44</v>
      </c>
      <c r="C72" s="420" t="s">
        <v>191</v>
      </c>
      <c r="D72" s="429" t="s">
        <v>11</v>
      </c>
      <c r="E72" s="222">
        <v>2</v>
      </c>
      <c r="F72" s="219">
        <v>1500</v>
      </c>
      <c r="G72" s="220">
        <f>E72*F72</f>
        <v>3000</v>
      </c>
      <c r="H72" s="218">
        <v>2</v>
      </c>
      <c r="I72" s="422">
        <v>1500</v>
      </c>
      <c r="J72" s="221">
        <f>H72*I72</f>
        <v>3000</v>
      </c>
      <c r="K72" s="218"/>
      <c r="L72" s="219"/>
      <c r="M72" s="221">
        <f t="shared" ref="M72:M75" si="109">K72*L72</f>
        <v>0</v>
      </c>
      <c r="N72" s="218"/>
      <c r="O72" s="219"/>
      <c r="P72" s="221">
        <f t="shared" ref="P72" si="110">N72*O72</f>
        <v>0</v>
      </c>
      <c r="Q72" s="222"/>
      <c r="R72" s="219"/>
      <c r="S72" s="221">
        <f t="shared" ref="S72" si="111">Q72*R72</f>
        <v>0</v>
      </c>
      <c r="T72" s="218"/>
      <c r="U72" s="219"/>
      <c r="V72" s="221">
        <f t="shared" ref="V72" si="112">T72*U72</f>
        <v>0</v>
      </c>
      <c r="W72" s="222"/>
      <c r="X72" s="219"/>
      <c r="Y72" s="221">
        <f t="shared" ref="Y72" si="113">W72*X72</f>
        <v>0</v>
      </c>
      <c r="Z72" s="218"/>
      <c r="AA72" s="219"/>
      <c r="AB72" s="220">
        <f t="shared" ref="AB72" si="114">Z72*AA72</f>
        <v>0</v>
      </c>
      <c r="AC72" s="241">
        <f t="shared" ref="AC72" si="115">G72+M72+S72+Y72</f>
        <v>3000</v>
      </c>
      <c r="AD72" s="262">
        <f t="shared" ref="AD72" si="116">J72+P72+V72+AB72</f>
        <v>3000</v>
      </c>
      <c r="AE72" s="223">
        <f t="shared" ref="AE72" si="117">AC72-AD72</f>
        <v>0</v>
      </c>
      <c r="AF72" s="347">
        <f t="shared" si="62"/>
        <v>0</v>
      </c>
      <c r="AG72" s="364"/>
      <c r="AH72" s="120"/>
      <c r="AI72" s="120"/>
    </row>
    <row r="73" spans="1:35" s="20" customFormat="1" ht="66" customHeight="1" x14ac:dyDescent="0.25">
      <c r="A73" s="418" t="s">
        <v>15</v>
      </c>
      <c r="B73" s="21" t="s">
        <v>45</v>
      </c>
      <c r="C73" s="421" t="s">
        <v>192</v>
      </c>
      <c r="D73" s="430" t="s">
        <v>11</v>
      </c>
      <c r="E73" s="174">
        <v>5</v>
      </c>
      <c r="F73" s="171">
        <v>1500</v>
      </c>
      <c r="G73" s="172">
        <f>E73*F73</f>
        <v>7500</v>
      </c>
      <c r="H73" s="170">
        <v>5</v>
      </c>
      <c r="I73" s="171">
        <v>1500</v>
      </c>
      <c r="J73" s="173">
        <f>H73*I73</f>
        <v>7500</v>
      </c>
      <c r="K73" s="170"/>
      <c r="L73" s="171"/>
      <c r="M73" s="173">
        <f>K73*L73</f>
        <v>0</v>
      </c>
      <c r="N73" s="170"/>
      <c r="O73" s="171"/>
      <c r="P73" s="173">
        <f>N73*O73</f>
        <v>0</v>
      </c>
      <c r="Q73" s="174"/>
      <c r="R73" s="171"/>
      <c r="S73" s="173">
        <f>Q73*R73</f>
        <v>0</v>
      </c>
      <c r="T73" s="170"/>
      <c r="U73" s="171"/>
      <c r="V73" s="173">
        <f>T73*U73</f>
        <v>0</v>
      </c>
      <c r="W73" s="174"/>
      <c r="X73" s="171"/>
      <c r="Y73" s="173">
        <f>W73*X73</f>
        <v>0</v>
      </c>
      <c r="Z73" s="170"/>
      <c r="AA73" s="171"/>
      <c r="AB73" s="172">
        <f>Z73*AA73</f>
        <v>0</v>
      </c>
      <c r="AC73" s="245">
        <f t="shared" ref="AC73:AC75" si="118">G73+M73+S73+Y73</f>
        <v>7500</v>
      </c>
      <c r="AD73" s="263">
        <f t="shared" ref="AD73:AD75" si="119">J73+P73+V73+AB73</f>
        <v>7500</v>
      </c>
      <c r="AE73" s="224">
        <f t="shared" ref="AE73:AE75" si="120">AC73-AD73</f>
        <v>0</v>
      </c>
      <c r="AF73" s="347">
        <f t="shared" si="62"/>
        <v>0</v>
      </c>
      <c r="AG73" s="364"/>
      <c r="AH73" s="120"/>
      <c r="AI73" s="120"/>
    </row>
    <row r="74" spans="1:35" s="20" customFormat="1" ht="89.25" customHeight="1" x14ac:dyDescent="0.25">
      <c r="A74" s="418" t="s">
        <v>15</v>
      </c>
      <c r="B74" s="21" t="s">
        <v>46</v>
      </c>
      <c r="C74" s="421" t="s">
        <v>193</v>
      </c>
      <c r="D74" s="430" t="s">
        <v>11</v>
      </c>
      <c r="E74" s="174">
        <v>6</v>
      </c>
      <c r="F74" s="171">
        <v>1500</v>
      </c>
      <c r="G74" s="172">
        <f>E74*F74</f>
        <v>9000</v>
      </c>
      <c r="H74" s="170">
        <v>6</v>
      </c>
      <c r="I74" s="171">
        <v>1500</v>
      </c>
      <c r="J74" s="173">
        <f>H74*I74</f>
        <v>9000</v>
      </c>
      <c r="K74" s="170"/>
      <c r="L74" s="171"/>
      <c r="M74" s="173">
        <f t="shared" si="109"/>
        <v>0</v>
      </c>
      <c r="N74" s="170"/>
      <c r="O74" s="171"/>
      <c r="P74" s="173">
        <f t="shared" ref="P74:P75" si="121">N74*O74</f>
        <v>0</v>
      </c>
      <c r="Q74" s="174"/>
      <c r="R74" s="171"/>
      <c r="S74" s="171">
        <f t="shared" ref="S74" si="122">Q74*R74</f>
        <v>0</v>
      </c>
      <c r="T74" s="171"/>
      <c r="U74" s="171"/>
      <c r="V74" s="171">
        <f t="shared" ref="V74" si="123">T74*U74</f>
        <v>0</v>
      </c>
      <c r="W74" s="171"/>
      <c r="X74" s="171"/>
      <c r="Y74" s="171">
        <f t="shared" ref="Y74" si="124">W74*X74</f>
        <v>0</v>
      </c>
      <c r="Z74" s="171"/>
      <c r="AA74" s="171"/>
      <c r="AB74" s="171">
        <f t="shared" ref="AB74" si="125">Z74*AA74</f>
        <v>0</v>
      </c>
      <c r="AC74" s="424">
        <f t="shared" si="118"/>
        <v>9000</v>
      </c>
      <c r="AD74" s="424">
        <f t="shared" si="119"/>
        <v>9000</v>
      </c>
      <c r="AE74" s="255">
        <f t="shared" si="120"/>
        <v>0</v>
      </c>
      <c r="AF74" s="347">
        <f t="shared" si="62"/>
        <v>0</v>
      </c>
      <c r="AG74" s="364"/>
      <c r="AH74" s="120"/>
      <c r="AI74" s="120"/>
    </row>
    <row r="75" spans="1:35" s="20" customFormat="1" ht="30" customHeight="1" thickBot="1" x14ac:dyDescent="0.3">
      <c r="A75" s="442" t="s">
        <v>15</v>
      </c>
      <c r="B75" s="443" t="s">
        <v>50</v>
      </c>
      <c r="C75" s="444" t="s">
        <v>194</v>
      </c>
      <c r="D75" s="445" t="s">
        <v>12</v>
      </c>
      <c r="E75" s="188">
        <v>102</v>
      </c>
      <c r="F75" s="178">
        <v>150</v>
      </c>
      <c r="G75" s="189">
        <f>E75*F75</f>
        <v>15300</v>
      </c>
      <c r="H75" s="413">
        <v>102</v>
      </c>
      <c r="I75" s="414">
        <v>150</v>
      </c>
      <c r="J75" s="416">
        <f>H75*I75</f>
        <v>15300</v>
      </c>
      <c r="K75" s="413"/>
      <c r="L75" s="414"/>
      <c r="M75" s="179">
        <f t="shared" si="109"/>
        <v>0</v>
      </c>
      <c r="N75" s="413"/>
      <c r="O75" s="414"/>
      <c r="P75" s="179">
        <f t="shared" si="121"/>
        <v>0</v>
      </c>
      <c r="Q75" s="415"/>
      <c r="R75" s="414"/>
      <c r="S75" s="416"/>
      <c r="T75" s="413"/>
      <c r="U75" s="414"/>
      <c r="V75" s="416"/>
      <c r="W75" s="415"/>
      <c r="X75" s="414"/>
      <c r="Y75" s="416"/>
      <c r="Z75" s="413"/>
      <c r="AA75" s="414"/>
      <c r="AB75" s="414"/>
      <c r="AC75" s="446">
        <f t="shared" si="118"/>
        <v>15300</v>
      </c>
      <c r="AD75" s="446">
        <f t="shared" si="119"/>
        <v>15300</v>
      </c>
      <c r="AE75" s="213">
        <f t="shared" si="120"/>
        <v>0</v>
      </c>
      <c r="AF75" s="447">
        <f t="shared" si="62"/>
        <v>0</v>
      </c>
      <c r="AG75" s="368"/>
      <c r="AH75" s="120"/>
      <c r="AI75" s="120"/>
    </row>
    <row r="76" spans="1:35" s="20" customFormat="1" ht="15.75" thickBot="1" x14ac:dyDescent="0.3">
      <c r="A76" s="687" t="s">
        <v>126</v>
      </c>
      <c r="B76" s="688"/>
      <c r="C76" s="689"/>
      <c r="D76" s="81"/>
      <c r="E76" s="226">
        <f>SUM(E72:E75)</f>
        <v>115</v>
      </c>
      <c r="F76" s="214">
        <f>SUM(F72:F75)</f>
        <v>4650</v>
      </c>
      <c r="G76" s="453">
        <f>SUM(G72:G75)</f>
        <v>34800</v>
      </c>
      <c r="H76" s="453">
        <f t="shared" ref="H76:AE76" si="126">SUM(H72:H75)</f>
        <v>115</v>
      </c>
      <c r="I76" s="453">
        <f t="shared" si="126"/>
        <v>4650</v>
      </c>
      <c r="J76" s="453">
        <f t="shared" si="126"/>
        <v>34800</v>
      </c>
      <c r="K76" s="453">
        <f t="shared" si="126"/>
        <v>0</v>
      </c>
      <c r="L76" s="453">
        <f t="shared" si="126"/>
        <v>0</v>
      </c>
      <c r="M76" s="453">
        <f t="shared" si="126"/>
        <v>0</v>
      </c>
      <c r="N76" s="453">
        <f t="shared" si="126"/>
        <v>0</v>
      </c>
      <c r="O76" s="453">
        <f t="shared" si="126"/>
        <v>0</v>
      </c>
      <c r="P76" s="453">
        <f t="shared" si="126"/>
        <v>0</v>
      </c>
      <c r="Q76" s="453">
        <f t="shared" si="126"/>
        <v>0</v>
      </c>
      <c r="R76" s="453">
        <f t="shared" si="126"/>
        <v>0</v>
      </c>
      <c r="S76" s="453">
        <f t="shared" si="126"/>
        <v>0</v>
      </c>
      <c r="T76" s="453">
        <f t="shared" si="126"/>
        <v>0</v>
      </c>
      <c r="U76" s="453">
        <f t="shared" si="126"/>
        <v>0</v>
      </c>
      <c r="V76" s="453">
        <f t="shared" si="126"/>
        <v>0</v>
      </c>
      <c r="W76" s="453">
        <f t="shared" si="126"/>
        <v>0</v>
      </c>
      <c r="X76" s="453">
        <f t="shared" si="126"/>
        <v>0</v>
      </c>
      <c r="Y76" s="453">
        <f t="shared" si="126"/>
        <v>0</v>
      </c>
      <c r="Z76" s="453">
        <f t="shared" si="126"/>
        <v>0</v>
      </c>
      <c r="AA76" s="453">
        <f t="shared" si="126"/>
        <v>0</v>
      </c>
      <c r="AB76" s="453">
        <f t="shared" si="126"/>
        <v>0</v>
      </c>
      <c r="AC76" s="453">
        <f t="shared" si="126"/>
        <v>34800</v>
      </c>
      <c r="AD76" s="453">
        <f t="shared" si="126"/>
        <v>34800</v>
      </c>
      <c r="AE76" s="453">
        <f t="shared" si="126"/>
        <v>0</v>
      </c>
      <c r="AF76" s="454">
        <f t="shared" si="62"/>
        <v>0</v>
      </c>
      <c r="AG76" s="455"/>
      <c r="AH76" s="120"/>
      <c r="AI76" s="120"/>
    </row>
    <row r="77" spans="1:35" s="20" customFormat="1" ht="15" customHeight="1" thickBot="1" x14ac:dyDescent="0.3">
      <c r="A77" s="54" t="s">
        <v>43</v>
      </c>
      <c r="B77" s="62" t="s">
        <v>56</v>
      </c>
      <c r="C77" s="448" t="s">
        <v>40</v>
      </c>
      <c r="D77" s="449"/>
      <c r="E77" s="237"/>
      <c r="F77" s="238"/>
      <c r="G77" s="238"/>
      <c r="H77" s="237"/>
      <c r="I77" s="238"/>
      <c r="J77" s="239"/>
      <c r="K77" s="238"/>
      <c r="L77" s="238"/>
      <c r="M77" s="239"/>
      <c r="N77" s="237"/>
      <c r="O77" s="238"/>
      <c r="P77" s="239"/>
      <c r="Q77" s="238"/>
      <c r="R77" s="238"/>
      <c r="S77" s="239"/>
      <c r="T77" s="237"/>
      <c r="U77" s="238"/>
      <c r="V77" s="239"/>
      <c r="W77" s="238"/>
      <c r="X77" s="238"/>
      <c r="Y77" s="239"/>
      <c r="Z77" s="237"/>
      <c r="AA77" s="238"/>
      <c r="AB77" s="239"/>
      <c r="AC77" s="450"/>
      <c r="AD77" s="257"/>
      <c r="AE77" s="257"/>
      <c r="AF77" s="451"/>
      <c r="AG77" s="452"/>
      <c r="AH77" s="120"/>
      <c r="AI77" s="120"/>
    </row>
    <row r="78" spans="1:35" s="20" customFormat="1" ht="30" customHeight="1" thickBot="1" x14ac:dyDescent="0.3">
      <c r="A78" s="425" t="s">
        <v>15</v>
      </c>
      <c r="B78" s="419" t="s">
        <v>44</v>
      </c>
      <c r="C78" s="420" t="s">
        <v>195</v>
      </c>
      <c r="D78" s="433" t="s">
        <v>184</v>
      </c>
      <c r="E78" s="432">
        <v>5</v>
      </c>
      <c r="F78" s="202">
        <v>10164</v>
      </c>
      <c r="G78" s="427">
        <f>E78*F78</f>
        <v>50820</v>
      </c>
      <c r="H78" s="201">
        <v>1</v>
      </c>
      <c r="I78" s="202">
        <v>50820</v>
      </c>
      <c r="J78" s="221">
        <f>H78*I78</f>
        <v>50820</v>
      </c>
      <c r="K78" s="222"/>
      <c r="L78" s="219"/>
      <c r="M78" s="221">
        <f t="shared" ref="M78" si="127">K78*L78</f>
        <v>0</v>
      </c>
      <c r="N78" s="218"/>
      <c r="O78" s="219"/>
      <c r="P78" s="221">
        <f t="shared" ref="P78" si="128">N78*O78</f>
        <v>0</v>
      </c>
      <c r="Q78" s="222"/>
      <c r="R78" s="219"/>
      <c r="S78" s="221">
        <f t="shared" ref="S78" si="129">Q78*R78</f>
        <v>0</v>
      </c>
      <c r="T78" s="218"/>
      <c r="U78" s="219"/>
      <c r="V78" s="221">
        <f t="shared" ref="V78" si="130">T78*U78</f>
        <v>0</v>
      </c>
      <c r="W78" s="222"/>
      <c r="X78" s="219"/>
      <c r="Y78" s="221">
        <f t="shared" ref="Y78" si="131">W78*X78</f>
        <v>0</v>
      </c>
      <c r="Z78" s="218"/>
      <c r="AA78" s="219"/>
      <c r="AB78" s="220">
        <f t="shared" ref="AB78" si="132">Z78*AA78</f>
        <v>0</v>
      </c>
      <c r="AC78" s="241">
        <f t="shared" ref="AC78" si="133">G78+M78+S78+Y78</f>
        <v>50820</v>
      </c>
      <c r="AD78" s="262">
        <f t="shared" ref="AD78" si="134">J78+P78+V78+AB78</f>
        <v>50820</v>
      </c>
      <c r="AE78" s="223">
        <f t="shared" ref="AE78" si="135">AC78-AD78</f>
        <v>0</v>
      </c>
      <c r="AF78" s="474">
        <f t="shared" si="62"/>
        <v>0</v>
      </c>
      <c r="AG78" s="363"/>
      <c r="AH78" s="120"/>
      <c r="AI78" s="120"/>
    </row>
    <row r="79" spans="1:35" s="20" customFormat="1" ht="52.5" customHeight="1" thickBot="1" x14ac:dyDescent="0.25">
      <c r="A79" s="426" t="s">
        <v>15</v>
      </c>
      <c r="B79" s="21" t="s">
        <v>45</v>
      </c>
      <c r="C79" s="421" t="s">
        <v>196</v>
      </c>
      <c r="D79" s="434" t="s">
        <v>184</v>
      </c>
      <c r="E79" s="432">
        <v>5</v>
      </c>
      <c r="F79" s="133">
        <v>6836</v>
      </c>
      <c r="G79" s="171">
        <f t="shared" ref="G79:G80" si="136">E79*F79</f>
        <v>34180</v>
      </c>
      <c r="H79" s="136">
        <v>5</v>
      </c>
      <c r="I79" s="133">
        <v>8800</v>
      </c>
      <c r="J79" s="173">
        <f>H79*I79</f>
        <v>44000</v>
      </c>
      <c r="K79" s="174"/>
      <c r="L79" s="171"/>
      <c r="M79" s="173">
        <f>K79*L79</f>
        <v>0</v>
      </c>
      <c r="N79" s="170"/>
      <c r="O79" s="171"/>
      <c r="P79" s="173">
        <f>N79*O79</f>
        <v>0</v>
      </c>
      <c r="Q79" s="174"/>
      <c r="R79" s="171"/>
      <c r="S79" s="173">
        <f>Q79*R79</f>
        <v>0</v>
      </c>
      <c r="T79" s="170"/>
      <c r="U79" s="171"/>
      <c r="V79" s="173">
        <f>T79*U79</f>
        <v>0</v>
      </c>
      <c r="W79" s="174"/>
      <c r="X79" s="171"/>
      <c r="Y79" s="173">
        <f>W79*X79</f>
        <v>0</v>
      </c>
      <c r="Z79" s="170"/>
      <c r="AA79" s="171"/>
      <c r="AB79" s="172">
        <f>Z79*AA79</f>
        <v>0</v>
      </c>
      <c r="AC79" s="245">
        <f t="shared" ref="AC79:AC80" si="137">G79+M79+S79+Y79</f>
        <v>34180</v>
      </c>
      <c r="AD79" s="263">
        <f t="shared" ref="AD79:AD80" si="138">J79+P79+V79+AB79</f>
        <v>44000</v>
      </c>
      <c r="AE79" s="224">
        <f t="shared" ref="AE79:AE81" si="139">AC79-AD79</f>
        <v>-9820</v>
      </c>
      <c r="AF79" s="347">
        <f t="shared" si="62"/>
        <v>-0.28730251609128143</v>
      </c>
      <c r="AG79" s="883" t="s">
        <v>515</v>
      </c>
      <c r="AH79" s="120"/>
      <c r="AI79" s="120"/>
    </row>
    <row r="80" spans="1:35" s="20" customFormat="1" ht="30" customHeight="1" thickBot="1" x14ac:dyDescent="0.3">
      <c r="A80" s="438" t="s">
        <v>15</v>
      </c>
      <c r="B80" s="443" t="s">
        <v>46</v>
      </c>
      <c r="C80" s="444" t="s">
        <v>197</v>
      </c>
      <c r="D80" s="456" t="s">
        <v>184</v>
      </c>
      <c r="E80" s="457">
        <v>5</v>
      </c>
      <c r="F80" s="138">
        <v>6000</v>
      </c>
      <c r="G80" s="414">
        <f t="shared" si="136"/>
        <v>30000</v>
      </c>
      <c r="H80" s="137">
        <v>5</v>
      </c>
      <c r="I80" s="138">
        <v>5995</v>
      </c>
      <c r="J80" s="179">
        <f>H80*I80</f>
        <v>29975</v>
      </c>
      <c r="K80" s="188"/>
      <c r="L80" s="178"/>
      <c r="M80" s="179">
        <f>K80*L80</f>
        <v>0</v>
      </c>
      <c r="N80" s="177"/>
      <c r="O80" s="178"/>
      <c r="P80" s="179">
        <f>N80*O80</f>
        <v>0</v>
      </c>
      <c r="Q80" s="188"/>
      <c r="R80" s="178"/>
      <c r="S80" s="179">
        <f>Q80*R80</f>
        <v>0</v>
      </c>
      <c r="T80" s="177"/>
      <c r="U80" s="178"/>
      <c r="V80" s="179">
        <f>T80*U80</f>
        <v>0</v>
      </c>
      <c r="W80" s="188"/>
      <c r="X80" s="178"/>
      <c r="Y80" s="179">
        <f>W80*X80</f>
        <v>0</v>
      </c>
      <c r="Z80" s="177"/>
      <c r="AA80" s="178"/>
      <c r="AB80" s="189">
        <f>Z80*AA80</f>
        <v>0</v>
      </c>
      <c r="AC80" s="247">
        <f t="shared" si="137"/>
        <v>30000</v>
      </c>
      <c r="AD80" s="265">
        <f t="shared" si="138"/>
        <v>29975</v>
      </c>
      <c r="AE80" s="475">
        <f t="shared" si="139"/>
        <v>25</v>
      </c>
      <c r="AF80" s="447">
        <f t="shared" si="62"/>
        <v>8.3333333333333339E-4</v>
      </c>
      <c r="AG80" s="368"/>
      <c r="AH80" s="120"/>
      <c r="AI80" s="120"/>
    </row>
    <row r="81" spans="1:35" s="20" customFormat="1" ht="15" customHeight="1" thickBot="1" x14ac:dyDescent="0.3">
      <c r="A81" s="687" t="s">
        <v>127</v>
      </c>
      <c r="B81" s="688"/>
      <c r="C81" s="689"/>
      <c r="D81" s="408"/>
      <c r="E81" s="226">
        <f t="shared" ref="E81:AB81" si="140">SUM(E78:E80)</f>
        <v>15</v>
      </c>
      <c r="F81" s="214">
        <f t="shared" si="140"/>
        <v>23000</v>
      </c>
      <c r="G81" s="453">
        <f t="shared" si="140"/>
        <v>115000</v>
      </c>
      <c r="H81" s="226">
        <f t="shared" si="140"/>
        <v>11</v>
      </c>
      <c r="I81" s="214">
        <f t="shared" si="140"/>
        <v>65615</v>
      </c>
      <c r="J81" s="214">
        <f t="shared" si="140"/>
        <v>124795</v>
      </c>
      <c r="K81" s="240">
        <f t="shared" si="140"/>
        <v>0</v>
      </c>
      <c r="L81" s="214">
        <f t="shared" si="140"/>
        <v>0</v>
      </c>
      <c r="M81" s="214">
        <f t="shared" si="140"/>
        <v>0</v>
      </c>
      <c r="N81" s="226">
        <f t="shared" si="140"/>
        <v>0</v>
      </c>
      <c r="O81" s="214">
        <f t="shared" si="140"/>
        <v>0</v>
      </c>
      <c r="P81" s="214">
        <f t="shared" si="140"/>
        <v>0</v>
      </c>
      <c r="Q81" s="240">
        <f t="shared" si="140"/>
        <v>0</v>
      </c>
      <c r="R81" s="214">
        <f t="shared" si="140"/>
        <v>0</v>
      </c>
      <c r="S81" s="214">
        <f t="shared" si="140"/>
        <v>0</v>
      </c>
      <c r="T81" s="226">
        <f t="shared" si="140"/>
        <v>0</v>
      </c>
      <c r="U81" s="214">
        <f t="shared" si="140"/>
        <v>0</v>
      </c>
      <c r="V81" s="214">
        <f t="shared" si="140"/>
        <v>0</v>
      </c>
      <c r="W81" s="240">
        <f t="shared" si="140"/>
        <v>0</v>
      </c>
      <c r="X81" s="214">
        <f t="shared" si="140"/>
        <v>0</v>
      </c>
      <c r="Y81" s="214">
        <f t="shared" si="140"/>
        <v>0</v>
      </c>
      <c r="Z81" s="226">
        <f t="shared" si="140"/>
        <v>0</v>
      </c>
      <c r="AA81" s="214">
        <f t="shared" si="140"/>
        <v>0</v>
      </c>
      <c r="AB81" s="214">
        <f t="shared" si="140"/>
        <v>0</v>
      </c>
      <c r="AC81" s="142">
        <f>G81+M81+S81+Y81</f>
        <v>115000</v>
      </c>
      <c r="AD81" s="254">
        <f>J81+P81+V81+AB81</f>
        <v>124795</v>
      </c>
      <c r="AE81" s="147">
        <f t="shared" si="139"/>
        <v>-9795</v>
      </c>
      <c r="AF81" s="458">
        <f t="shared" si="62"/>
        <v>-8.5173913043478267E-2</v>
      </c>
      <c r="AG81" s="455"/>
      <c r="AH81" s="120"/>
      <c r="AI81" s="120"/>
    </row>
    <row r="82" spans="1:35" s="20" customFormat="1" ht="15" customHeight="1" thickBot="1" x14ac:dyDescent="0.3">
      <c r="A82" s="57" t="s">
        <v>43</v>
      </c>
      <c r="B82" s="64" t="s">
        <v>66</v>
      </c>
      <c r="C82" s="33" t="s">
        <v>13</v>
      </c>
      <c r="D82" s="22"/>
      <c r="E82" s="194"/>
      <c r="F82" s="195"/>
      <c r="G82" s="195"/>
      <c r="H82" s="194"/>
      <c r="I82" s="195"/>
      <c r="J82" s="195"/>
      <c r="K82" s="195"/>
      <c r="L82" s="195"/>
      <c r="M82" s="196"/>
      <c r="N82" s="194"/>
      <c r="O82" s="195"/>
      <c r="P82" s="196"/>
      <c r="Q82" s="195"/>
      <c r="R82" s="195"/>
      <c r="S82" s="196"/>
      <c r="T82" s="194"/>
      <c r="U82" s="195"/>
      <c r="V82" s="196"/>
      <c r="W82" s="195"/>
      <c r="X82" s="195"/>
      <c r="Y82" s="196"/>
      <c r="Z82" s="194"/>
      <c r="AA82" s="195"/>
      <c r="AB82" s="196"/>
      <c r="AC82" s="258"/>
      <c r="AD82" s="207"/>
      <c r="AE82" s="200"/>
      <c r="AF82" s="348"/>
      <c r="AG82" s="366"/>
      <c r="AH82" s="120"/>
      <c r="AI82" s="120"/>
    </row>
    <row r="83" spans="1:35" s="40" customFormat="1" ht="30" customHeight="1" x14ac:dyDescent="0.25">
      <c r="A83" s="25" t="s">
        <v>14</v>
      </c>
      <c r="B83" s="24" t="s">
        <v>128</v>
      </c>
      <c r="C83" s="90" t="s">
        <v>37</v>
      </c>
      <c r="D83" s="74"/>
      <c r="E83" s="124">
        <f t="shared" ref="E83:AB83" si="141">SUM(E84:E84)</f>
        <v>7</v>
      </c>
      <c r="F83" s="125">
        <f t="shared" si="141"/>
        <v>9000</v>
      </c>
      <c r="G83" s="126">
        <f t="shared" si="141"/>
        <v>63000</v>
      </c>
      <c r="H83" s="127">
        <f t="shared" si="141"/>
        <v>7</v>
      </c>
      <c r="I83" s="128">
        <f t="shared" si="141"/>
        <v>9000</v>
      </c>
      <c r="J83" s="129">
        <f t="shared" si="141"/>
        <v>63000</v>
      </c>
      <c r="K83" s="130">
        <f t="shared" si="141"/>
        <v>7</v>
      </c>
      <c r="L83" s="125">
        <f t="shared" si="141"/>
        <v>2000</v>
      </c>
      <c r="M83" s="131">
        <f t="shared" si="141"/>
        <v>14000</v>
      </c>
      <c r="N83" s="124">
        <f t="shared" si="141"/>
        <v>7</v>
      </c>
      <c r="O83" s="125">
        <f t="shared" si="141"/>
        <v>2000</v>
      </c>
      <c r="P83" s="131">
        <f t="shared" si="141"/>
        <v>14000</v>
      </c>
      <c r="Q83" s="130">
        <f t="shared" si="141"/>
        <v>0</v>
      </c>
      <c r="R83" s="125">
        <f t="shared" si="141"/>
        <v>0</v>
      </c>
      <c r="S83" s="131">
        <f t="shared" si="141"/>
        <v>0</v>
      </c>
      <c r="T83" s="124">
        <f t="shared" si="141"/>
        <v>0</v>
      </c>
      <c r="U83" s="125">
        <f t="shared" si="141"/>
        <v>0</v>
      </c>
      <c r="V83" s="131">
        <f t="shared" si="141"/>
        <v>0</v>
      </c>
      <c r="W83" s="130">
        <f t="shared" si="141"/>
        <v>0</v>
      </c>
      <c r="X83" s="125">
        <f t="shared" si="141"/>
        <v>0</v>
      </c>
      <c r="Y83" s="131">
        <f t="shared" si="141"/>
        <v>0</v>
      </c>
      <c r="Z83" s="124">
        <f t="shared" si="141"/>
        <v>0</v>
      </c>
      <c r="AA83" s="125">
        <f t="shared" si="141"/>
        <v>0</v>
      </c>
      <c r="AB83" s="131">
        <f t="shared" si="141"/>
        <v>0</v>
      </c>
      <c r="AC83" s="242">
        <f>G83+M83+S83+Y83</f>
        <v>77000</v>
      </c>
      <c r="AD83" s="264">
        <f>J83+P83+V83+AB83</f>
        <v>77000</v>
      </c>
      <c r="AE83" s="477">
        <f>AC83-AD83</f>
        <v>0</v>
      </c>
      <c r="AF83" s="476">
        <f t="shared" ref="AF83:AF98" si="142">AE83/AC83</f>
        <v>0</v>
      </c>
      <c r="AG83" s="367"/>
      <c r="AH83" s="119"/>
      <c r="AI83" s="119"/>
    </row>
    <row r="84" spans="1:35" s="20" customFormat="1" ht="78" customHeight="1" thickBot="1" x14ac:dyDescent="0.3">
      <c r="A84" s="47" t="s">
        <v>15</v>
      </c>
      <c r="B84" s="23" t="s">
        <v>44</v>
      </c>
      <c r="C84" s="417" t="s">
        <v>198</v>
      </c>
      <c r="D84" s="78" t="s">
        <v>4</v>
      </c>
      <c r="E84" s="170">
        <v>7</v>
      </c>
      <c r="F84" s="171">
        <v>9000</v>
      </c>
      <c r="G84" s="172">
        <f>E84*F84</f>
        <v>63000</v>
      </c>
      <c r="H84" s="170">
        <v>7</v>
      </c>
      <c r="I84" s="171">
        <v>9000</v>
      </c>
      <c r="J84" s="173">
        <f>H84*I84</f>
        <v>63000</v>
      </c>
      <c r="K84" s="174">
        <v>7</v>
      </c>
      <c r="L84" s="171">
        <v>2000</v>
      </c>
      <c r="M84" s="173">
        <f t="shared" ref="M84" si="143">K84*L84</f>
        <v>14000</v>
      </c>
      <c r="N84" s="170">
        <v>7</v>
      </c>
      <c r="O84" s="171">
        <v>2000</v>
      </c>
      <c r="P84" s="173">
        <f t="shared" ref="P84" si="144">N84*O84</f>
        <v>14000</v>
      </c>
      <c r="Q84" s="174"/>
      <c r="R84" s="171"/>
      <c r="S84" s="173">
        <f t="shared" ref="S84" si="145">Q84*R84</f>
        <v>0</v>
      </c>
      <c r="T84" s="170"/>
      <c r="U84" s="171"/>
      <c r="V84" s="173">
        <f t="shared" ref="V84" si="146">T84*U84</f>
        <v>0</v>
      </c>
      <c r="W84" s="174"/>
      <c r="X84" s="171"/>
      <c r="Y84" s="173">
        <f t="shared" ref="Y84" si="147">W84*X84</f>
        <v>0</v>
      </c>
      <c r="Z84" s="170"/>
      <c r="AA84" s="171"/>
      <c r="AB84" s="173">
        <f t="shared" ref="AB84" si="148">Z84*AA84</f>
        <v>0</v>
      </c>
      <c r="AC84" s="245">
        <f t="shared" ref="AC84" si="149">G84+M84+S84+Y84</f>
        <v>77000</v>
      </c>
      <c r="AD84" s="263">
        <f t="shared" ref="AD84" si="150">J84+P84+V84+AB84</f>
        <v>77000</v>
      </c>
      <c r="AE84" s="475">
        <f t="shared" ref="AE84" si="151">AC84-AD84</f>
        <v>0</v>
      </c>
      <c r="AF84" s="347">
        <f t="shared" si="142"/>
        <v>0</v>
      </c>
      <c r="AG84" s="364"/>
      <c r="AH84" s="120"/>
      <c r="AI84" s="120"/>
    </row>
    <row r="85" spans="1:35" s="40" customFormat="1" ht="15" customHeight="1" thickBot="1" x14ac:dyDescent="0.3">
      <c r="A85" s="467" t="s">
        <v>14</v>
      </c>
      <c r="B85" s="468" t="s">
        <v>129</v>
      </c>
      <c r="C85" s="469" t="s">
        <v>13</v>
      </c>
      <c r="D85" s="470"/>
      <c r="E85" s="471">
        <f>SUM(E86:E88)</f>
        <v>0</v>
      </c>
      <c r="F85" s="472">
        <f>SUM(F86:F88)</f>
        <v>0</v>
      </c>
      <c r="G85" s="473">
        <f>SUM(G86:G96)</f>
        <v>20000</v>
      </c>
      <c r="H85" s="473">
        <f t="shared" ref="H85:AE85" si="152">SUM(H86:H96)</f>
        <v>10</v>
      </c>
      <c r="I85" s="473">
        <f t="shared" si="152"/>
        <v>44000</v>
      </c>
      <c r="J85" s="473">
        <f t="shared" si="152"/>
        <v>127000</v>
      </c>
      <c r="K85" s="473">
        <f t="shared" si="152"/>
        <v>179</v>
      </c>
      <c r="L85" s="473">
        <f t="shared" si="152"/>
        <v>22950</v>
      </c>
      <c r="M85" s="473">
        <f t="shared" si="152"/>
        <v>137600</v>
      </c>
      <c r="N85" s="473">
        <f t="shared" si="152"/>
        <v>241</v>
      </c>
      <c r="O85" s="473">
        <f t="shared" si="152"/>
        <v>96020.2</v>
      </c>
      <c r="P85" s="473">
        <f t="shared" si="152"/>
        <v>267101</v>
      </c>
      <c r="Q85" s="473">
        <f t="shared" si="152"/>
        <v>0</v>
      </c>
      <c r="R85" s="473">
        <f t="shared" si="152"/>
        <v>0</v>
      </c>
      <c r="S85" s="473">
        <f t="shared" si="152"/>
        <v>0</v>
      </c>
      <c r="T85" s="473">
        <f t="shared" si="152"/>
        <v>0</v>
      </c>
      <c r="U85" s="473">
        <f t="shared" si="152"/>
        <v>0</v>
      </c>
      <c r="V85" s="473">
        <f t="shared" si="152"/>
        <v>0</v>
      </c>
      <c r="W85" s="473">
        <f t="shared" si="152"/>
        <v>0</v>
      </c>
      <c r="X85" s="473">
        <f t="shared" si="152"/>
        <v>0</v>
      </c>
      <c r="Y85" s="473">
        <f t="shared" si="152"/>
        <v>0</v>
      </c>
      <c r="Z85" s="473">
        <f t="shared" si="152"/>
        <v>0</v>
      </c>
      <c r="AA85" s="473">
        <f t="shared" si="152"/>
        <v>0</v>
      </c>
      <c r="AB85" s="473">
        <f t="shared" si="152"/>
        <v>0</v>
      </c>
      <c r="AC85" s="473">
        <f>SUM(AC86:AC96)</f>
        <v>157600</v>
      </c>
      <c r="AD85" s="473">
        <f t="shared" si="152"/>
        <v>394101</v>
      </c>
      <c r="AE85" s="473">
        <f t="shared" si="152"/>
        <v>-236501</v>
      </c>
      <c r="AF85" s="485">
        <f t="shared" si="142"/>
        <v>-1.5006408629441625</v>
      </c>
      <c r="AG85" s="367"/>
      <c r="AH85" s="119"/>
      <c r="AI85" s="119"/>
    </row>
    <row r="86" spans="1:35" s="20" customFormat="1" ht="30" customHeight="1" x14ac:dyDescent="0.25">
      <c r="A86" s="459" t="s">
        <v>15</v>
      </c>
      <c r="B86" s="460" t="s">
        <v>44</v>
      </c>
      <c r="C86" s="461" t="s">
        <v>199</v>
      </c>
      <c r="D86" s="429" t="s">
        <v>184</v>
      </c>
      <c r="E86" s="218"/>
      <c r="F86" s="219"/>
      <c r="G86" s="221">
        <f>E86*F86</f>
        <v>0</v>
      </c>
      <c r="H86" s="218"/>
      <c r="I86" s="219"/>
      <c r="J86" s="221">
        <f>H86*I86</f>
        <v>0</v>
      </c>
      <c r="K86" s="464">
        <v>5</v>
      </c>
      <c r="L86" s="423">
        <v>1000</v>
      </c>
      <c r="M86" s="463">
        <f t="shared" ref="M86:M96" si="153">K86*L86</f>
        <v>5000</v>
      </c>
      <c r="N86" s="462">
        <v>5</v>
      </c>
      <c r="O86" s="423">
        <v>420.2</v>
      </c>
      <c r="P86" s="463">
        <f t="shared" ref="P86:P96" si="154">N86*O86</f>
        <v>2101</v>
      </c>
      <c r="Q86" s="464"/>
      <c r="R86" s="423"/>
      <c r="S86" s="463">
        <f t="shared" ref="S86:S88" si="155">Q86*R86</f>
        <v>0</v>
      </c>
      <c r="T86" s="462"/>
      <c r="U86" s="423"/>
      <c r="V86" s="463">
        <f t="shared" ref="V86:V88" si="156">T86*U86</f>
        <v>0</v>
      </c>
      <c r="W86" s="464"/>
      <c r="X86" s="423"/>
      <c r="Y86" s="463">
        <f t="shared" ref="Y86:Y88" si="157">W86*X86</f>
        <v>0</v>
      </c>
      <c r="Z86" s="462"/>
      <c r="AA86" s="423"/>
      <c r="AB86" s="428">
        <f t="shared" ref="AB86:AB88" si="158">Z86*AA86</f>
        <v>0</v>
      </c>
      <c r="AC86" s="465">
        <f t="shared" ref="AC86:AC88" si="159">G86+M86+S86+Y86</f>
        <v>5000</v>
      </c>
      <c r="AD86" s="466">
        <f t="shared" ref="AD86:AD88" si="160">J86+P86+V86+AB86</f>
        <v>2101</v>
      </c>
      <c r="AE86" s="484">
        <f t="shared" ref="AE86:AE88" si="161">AC86-AD86</f>
        <v>2899</v>
      </c>
      <c r="AF86" s="481">
        <f t="shared" si="142"/>
        <v>0.57979999999999998</v>
      </c>
      <c r="AG86" s="478"/>
      <c r="AH86" s="120"/>
      <c r="AI86" s="120"/>
    </row>
    <row r="87" spans="1:35" s="20" customFormat="1" ht="42" customHeight="1" x14ac:dyDescent="0.25">
      <c r="A87" s="418" t="s">
        <v>15</v>
      </c>
      <c r="B87" s="437" t="s">
        <v>45</v>
      </c>
      <c r="C87" s="439" t="s">
        <v>200</v>
      </c>
      <c r="D87" s="430" t="s">
        <v>202</v>
      </c>
      <c r="E87" s="170"/>
      <c r="F87" s="171"/>
      <c r="G87" s="173">
        <f t="shared" ref="G87:G96" si="162">E87*F87</f>
        <v>0</v>
      </c>
      <c r="H87" s="170"/>
      <c r="I87" s="171"/>
      <c r="J87" s="173">
        <f t="shared" ref="J87:J96" si="163">H87*I87</f>
        <v>0</v>
      </c>
      <c r="K87" s="174">
        <v>36</v>
      </c>
      <c r="L87" s="171">
        <v>800</v>
      </c>
      <c r="M87" s="173">
        <f t="shared" si="153"/>
        <v>28800</v>
      </c>
      <c r="N87" s="170">
        <v>60</v>
      </c>
      <c r="O87" s="171">
        <v>800</v>
      </c>
      <c r="P87" s="173">
        <f t="shared" si="154"/>
        <v>48000</v>
      </c>
      <c r="Q87" s="174"/>
      <c r="R87" s="171"/>
      <c r="S87" s="173">
        <f t="shared" si="155"/>
        <v>0</v>
      </c>
      <c r="T87" s="170"/>
      <c r="U87" s="171"/>
      <c r="V87" s="173">
        <f t="shared" si="156"/>
        <v>0</v>
      </c>
      <c r="W87" s="174"/>
      <c r="X87" s="171"/>
      <c r="Y87" s="173">
        <f t="shared" si="157"/>
        <v>0</v>
      </c>
      <c r="Z87" s="170"/>
      <c r="AA87" s="171"/>
      <c r="AB87" s="172">
        <f t="shared" si="158"/>
        <v>0</v>
      </c>
      <c r="AC87" s="245">
        <f t="shared" si="159"/>
        <v>28800</v>
      </c>
      <c r="AD87" s="263">
        <f t="shared" si="160"/>
        <v>48000</v>
      </c>
      <c r="AE87" s="479">
        <f t="shared" si="161"/>
        <v>-19200</v>
      </c>
      <c r="AF87" s="482">
        <f t="shared" si="142"/>
        <v>-0.66666666666666663</v>
      </c>
      <c r="AG87" s="478"/>
      <c r="AH87" s="120"/>
      <c r="AI87" s="120"/>
    </row>
    <row r="88" spans="1:35" s="20" customFormat="1" ht="36" customHeight="1" x14ac:dyDescent="0.25">
      <c r="A88" s="418" t="s">
        <v>15</v>
      </c>
      <c r="B88" s="437" t="s">
        <v>46</v>
      </c>
      <c r="C88" s="439" t="s">
        <v>201</v>
      </c>
      <c r="D88" s="430" t="s">
        <v>203</v>
      </c>
      <c r="E88" s="170"/>
      <c r="F88" s="171"/>
      <c r="G88" s="173">
        <f t="shared" si="162"/>
        <v>0</v>
      </c>
      <c r="H88" s="170"/>
      <c r="I88" s="171"/>
      <c r="J88" s="173">
        <f t="shared" si="163"/>
        <v>0</v>
      </c>
      <c r="K88" s="174">
        <v>36</v>
      </c>
      <c r="L88" s="171">
        <v>800</v>
      </c>
      <c r="M88" s="173">
        <f t="shared" si="153"/>
        <v>28800</v>
      </c>
      <c r="N88" s="170">
        <v>60</v>
      </c>
      <c r="O88" s="171">
        <v>800</v>
      </c>
      <c r="P88" s="173">
        <f t="shared" si="154"/>
        <v>48000</v>
      </c>
      <c r="Q88" s="174"/>
      <c r="R88" s="171"/>
      <c r="S88" s="173">
        <f t="shared" si="155"/>
        <v>0</v>
      </c>
      <c r="T88" s="170"/>
      <c r="U88" s="171"/>
      <c r="V88" s="173">
        <f t="shared" si="156"/>
        <v>0</v>
      </c>
      <c r="W88" s="174"/>
      <c r="X88" s="171"/>
      <c r="Y88" s="173">
        <f t="shared" si="157"/>
        <v>0</v>
      </c>
      <c r="Z88" s="170"/>
      <c r="AA88" s="171"/>
      <c r="AB88" s="172">
        <f t="shared" si="158"/>
        <v>0</v>
      </c>
      <c r="AC88" s="245">
        <f t="shared" si="159"/>
        <v>28800</v>
      </c>
      <c r="AD88" s="263">
        <f t="shared" si="160"/>
        <v>48000</v>
      </c>
      <c r="AE88" s="479">
        <f t="shared" si="161"/>
        <v>-19200</v>
      </c>
      <c r="AF88" s="482">
        <f t="shared" si="142"/>
        <v>-0.66666666666666663</v>
      </c>
      <c r="AG88" s="478"/>
      <c r="AH88" s="120"/>
      <c r="AI88" s="120"/>
    </row>
    <row r="89" spans="1:35" s="20" customFormat="1" ht="63" customHeight="1" thickBot="1" x14ac:dyDescent="0.3">
      <c r="A89" s="418" t="s">
        <v>15</v>
      </c>
      <c r="B89" s="437" t="s">
        <v>50</v>
      </c>
      <c r="C89" s="439" t="s">
        <v>204</v>
      </c>
      <c r="D89" s="430" t="s">
        <v>9</v>
      </c>
      <c r="E89" s="170"/>
      <c r="F89" s="171"/>
      <c r="G89" s="173">
        <f t="shared" si="162"/>
        <v>0</v>
      </c>
      <c r="H89" s="170"/>
      <c r="I89" s="171"/>
      <c r="J89" s="173">
        <f t="shared" si="163"/>
        <v>0</v>
      </c>
      <c r="K89" s="171">
        <v>100</v>
      </c>
      <c r="L89" s="171">
        <v>350</v>
      </c>
      <c r="M89" s="173">
        <f t="shared" si="153"/>
        <v>35000</v>
      </c>
      <c r="N89" s="171">
        <v>100</v>
      </c>
      <c r="O89" s="171">
        <v>0</v>
      </c>
      <c r="P89" s="173">
        <f t="shared" si="154"/>
        <v>0</v>
      </c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245">
        <f t="shared" ref="AC89:AC96" si="164">G89+M89+S89+Y89</f>
        <v>35000</v>
      </c>
      <c r="AD89" s="263">
        <f t="shared" ref="AD89:AD96" si="165">J89+P89+V89+AB89</f>
        <v>0</v>
      </c>
      <c r="AE89" s="479">
        <f t="shared" ref="AE89:AE96" si="166">AC89-AD89</f>
        <v>35000</v>
      </c>
      <c r="AF89" s="482">
        <f t="shared" ref="AF89:AF96" si="167">AE89/AC89</f>
        <v>1</v>
      </c>
      <c r="AG89" s="435"/>
      <c r="AH89" s="120"/>
      <c r="AI89" s="120"/>
    </row>
    <row r="90" spans="1:35" s="20" customFormat="1" ht="71.25" customHeight="1" thickBot="1" x14ac:dyDescent="0.3">
      <c r="A90" s="418" t="s">
        <v>15</v>
      </c>
      <c r="B90" s="437" t="s">
        <v>51</v>
      </c>
      <c r="C90" s="439" t="s">
        <v>205</v>
      </c>
      <c r="D90" s="430" t="s">
        <v>9</v>
      </c>
      <c r="E90" s="170">
        <v>1</v>
      </c>
      <c r="F90" s="171">
        <v>20000</v>
      </c>
      <c r="G90" s="173">
        <f t="shared" si="162"/>
        <v>20000</v>
      </c>
      <c r="H90" s="170">
        <v>1</v>
      </c>
      <c r="I90" s="171">
        <v>20000</v>
      </c>
      <c r="J90" s="173">
        <f t="shared" si="163"/>
        <v>20000</v>
      </c>
      <c r="K90" s="171"/>
      <c r="L90" s="171"/>
      <c r="M90" s="173">
        <f t="shared" si="153"/>
        <v>0</v>
      </c>
      <c r="N90" s="171"/>
      <c r="O90" s="171"/>
      <c r="P90" s="173">
        <f t="shared" si="154"/>
        <v>0</v>
      </c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245">
        <f t="shared" si="164"/>
        <v>20000</v>
      </c>
      <c r="AD90" s="263">
        <f t="shared" si="165"/>
        <v>20000</v>
      </c>
      <c r="AE90" s="479">
        <f t="shared" si="166"/>
        <v>0</v>
      </c>
      <c r="AF90" s="482">
        <f t="shared" si="167"/>
        <v>0</v>
      </c>
      <c r="AG90" s="435"/>
      <c r="AH90" s="120"/>
      <c r="AI90" s="120"/>
    </row>
    <row r="91" spans="1:35" s="20" customFormat="1" ht="51" customHeight="1" thickBot="1" x14ac:dyDescent="0.3">
      <c r="A91" s="418" t="s">
        <v>15</v>
      </c>
      <c r="B91" s="437" t="s">
        <v>52</v>
      </c>
      <c r="C91" s="439" t="s">
        <v>206</v>
      </c>
      <c r="D91" s="430"/>
      <c r="E91" s="170"/>
      <c r="F91" s="171"/>
      <c r="G91" s="173">
        <f t="shared" si="162"/>
        <v>0</v>
      </c>
      <c r="H91" s="170"/>
      <c r="I91" s="171"/>
      <c r="J91" s="173">
        <f t="shared" si="163"/>
        <v>0</v>
      </c>
      <c r="K91" s="171">
        <v>2</v>
      </c>
      <c r="L91" s="171">
        <v>20000</v>
      </c>
      <c r="M91" s="173">
        <f t="shared" si="153"/>
        <v>40000</v>
      </c>
      <c r="N91" s="171">
        <v>2</v>
      </c>
      <c r="O91" s="171">
        <v>20000</v>
      </c>
      <c r="P91" s="173">
        <f t="shared" si="154"/>
        <v>40000</v>
      </c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245">
        <f t="shared" si="164"/>
        <v>40000</v>
      </c>
      <c r="AD91" s="263">
        <f t="shared" si="165"/>
        <v>40000</v>
      </c>
      <c r="AE91" s="479">
        <f t="shared" si="166"/>
        <v>0</v>
      </c>
      <c r="AF91" s="482">
        <f t="shared" si="167"/>
        <v>0</v>
      </c>
      <c r="AG91" s="435"/>
      <c r="AH91" s="120"/>
      <c r="AI91" s="120"/>
    </row>
    <row r="92" spans="1:35" s="20" customFormat="1" ht="49.5" customHeight="1" x14ac:dyDescent="0.25">
      <c r="A92" s="418" t="s">
        <v>15</v>
      </c>
      <c r="B92" s="437" t="s">
        <v>53</v>
      </c>
      <c r="C92" s="439" t="s">
        <v>207</v>
      </c>
      <c r="D92" s="430" t="s">
        <v>168</v>
      </c>
      <c r="E92" s="170"/>
      <c r="F92" s="171"/>
      <c r="G92" s="173">
        <f t="shared" si="162"/>
        <v>0</v>
      </c>
      <c r="H92" s="170"/>
      <c r="I92" s="171"/>
      <c r="J92" s="173">
        <f t="shared" si="163"/>
        <v>0</v>
      </c>
      <c r="K92" s="171"/>
      <c r="L92" s="171"/>
      <c r="M92" s="173">
        <f t="shared" si="153"/>
        <v>0</v>
      </c>
      <c r="N92" s="171">
        <v>3</v>
      </c>
      <c r="O92" s="171">
        <v>8000</v>
      </c>
      <c r="P92" s="173">
        <f t="shared" si="154"/>
        <v>24000</v>
      </c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245">
        <f t="shared" si="164"/>
        <v>0</v>
      </c>
      <c r="AD92" s="263">
        <f t="shared" si="165"/>
        <v>24000</v>
      </c>
      <c r="AE92" s="479">
        <f t="shared" si="166"/>
        <v>-24000</v>
      </c>
      <c r="AF92" s="482" t="e">
        <f t="shared" si="167"/>
        <v>#DIV/0!</v>
      </c>
      <c r="AG92" s="885" t="s">
        <v>515</v>
      </c>
      <c r="AH92" s="120"/>
      <c r="AI92" s="120"/>
    </row>
    <row r="93" spans="1:35" s="20" customFormat="1" ht="39.75" customHeight="1" x14ac:dyDescent="0.25">
      <c r="A93" s="418" t="s">
        <v>15</v>
      </c>
      <c r="B93" s="437" t="s">
        <v>54</v>
      </c>
      <c r="C93" s="439" t="s">
        <v>208</v>
      </c>
      <c r="D93" s="430" t="s">
        <v>164</v>
      </c>
      <c r="E93" s="170"/>
      <c r="F93" s="171"/>
      <c r="G93" s="173">
        <f t="shared" si="162"/>
        <v>0</v>
      </c>
      <c r="H93" s="170"/>
      <c r="I93" s="171"/>
      <c r="J93" s="173">
        <f t="shared" si="163"/>
        <v>0</v>
      </c>
      <c r="K93" s="171"/>
      <c r="L93" s="171"/>
      <c r="M93" s="173">
        <f t="shared" si="153"/>
        <v>0</v>
      </c>
      <c r="N93" s="171">
        <v>1</v>
      </c>
      <c r="O93" s="171">
        <v>25000</v>
      </c>
      <c r="P93" s="173">
        <f t="shared" si="154"/>
        <v>25000</v>
      </c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245">
        <f t="shared" si="164"/>
        <v>0</v>
      </c>
      <c r="AD93" s="263">
        <f t="shared" si="165"/>
        <v>25000</v>
      </c>
      <c r="AE93" s="479">
        <f t="shared" si="166"/>
        <v>-25000</v>
      </c>
      <c r="AF93" s="482" t="e">
        <f>AE93/AC93</f>
        <v>#DIV/0!</v>
      </c>
      <c r="AG93" s="886"/>
      <c r="AH93" s="120"/>
      <c r="AI93" s="120"/>
    </row>
    <row r="94" spans="1:35" s="20" customFormat="1" ht="41.25" customHeight="1" x14ac:dyDescent="0.25">
      <c r="A94" s="418" t="s">
        <v>15</v>
      </c>
      <c r="B94" s="437" t="s">
        <v>212</v>
      </c>
      <c r="C94" s="439" t="s">
        <v>209</v>
      </c>
      <c r="D94" s="430" t="s">
        <v>164</v>
      </c>
      <c r="E94" s="170"/>
      <c r="F94" s="171"/>
      <c r="G94" s="173">
        <f t="shared" si="162"/>
        <v>0</v>
      </c>
      <c r="H94" s="170"/>
      <c r="I94" s="171"/>
      <c r="J94" s="173">
        <f t="shared" si="163"/>
        <v>0</v>
      </c>
      <c r="K94" s="171"/>
      <c r="L94" s="171"/>
      <c r="M94" s="173">
        <f t="shared" si="153"/>
        <v>0</v>
      </c>
      <c r="N94" s="171">
        <v>1</v>
      </c>
      <c r="O94" s="171">
        <v>30000</v>
      </c>
      <c r="P94" s="173">
        <f t="shared" si="154"/>
        <v>30000</v>
      </c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245">
        <f t="shared" si="164"/>
        <v>0</v>
      </c>
      <c r="AD94" s="263">
        <f t="shared" si="165"/>
        <v>30000</v>
      </c>
      <c r="AE94" s="479">
        <f t="shared" si="166"/>
        <v>-30000</v>
      </c>
      <c r="AF94" s="482" t="e">
        <f t="shared" si="167"/>
        <v>#DIV/0!</v>
      </c>
      <c r="AG94" s="886"/>
      <c r="AH94" s="120"/>
      <c r="AI94" s="120"/>
    </row>
    <row r="95" spans="1:35" s="20" customFormat="1" ht="59.25" customHeight="1" x14ac:dyDescent="0.25">
      <c r="A95" s="418" t="s">
        <v>15</v>
      </c>
      <c r="B95" s="437" t="s">
        <v>175</v>
      </c>
      <c r="C95" s="439" t="s">
        <v>210</v>
      </c>
      <c r="D95" s="430" t="s">
        <v>184</v>
      </c>
      <c r="E95" s="170"/>
      <c r="F95" s="171"/>
      <c r="G95" s="173">
        <f t="shared" si="162"/>
        <v>0</v>
      </c>
      <c r="H95" s="170">
        <v>5</v>
      </c>
      <c r="I95" s="171">
        <v>11000</v>
      </c>
      <c r="J95" s="173">
        <f t="shared" si="163"/>
        <v>55000</v>
      </c>
      <c r="K95" s="171"/>
      <c r="L95" s="171"/>
      <c r="M95" s="173">
        <f t="shared" si="153"/>
        <v>0</v>
      </c>
      <c r="N95" s="171">
        <v>5</v>
      </c>
      <c r="O95" s="171">
        <v>6000</v>
      </c>
      <c r="P95" s="173">
        <f t="shared" si="154"/>
        <v>30000</v>
      </c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245">
        <f t="shared" si="164"/>
        <v>0</v>
      </c>
      <c r="AD95" s="263">
        <f t="shared" si="165"/>
        <v>85000</v>
      </c>
      <c r="AE95" s="479">
        <f t="shared" si="166"/>
        <v>-85000</v>
      </c>
      <c r="AF95" s="482" t="e">
        <f t="shared" si="167"/>
        <v>#DIV/0!</v>
      </c>
      <c r="AG95" s="886"/>
      <c r="AH95" s="120"/>
      <c r="AI95" s="120"/>
    </row>
    <row r="96" spans="1:35" s="20" customFormat="1" ht="52.5" customHeight="1" thickBot="1" x14ac:dyDescent="0.3">
      <c r="A96" s="418" t="s">
        <v>15</v>
      </c>
      <c r="B96" s="441" t="s">
        <v>176</v>
      </c>
      <c r="C96" s="440" t="s">
        <v>211</v>
      </c>
      <c r="D96" s="431" t="s">
        <v>184</v>
      </c>
      <c r="E96" s="175"/>
      <c r="F96" s="176"/>
      <c r="G96" s="180">
        <f t="shared" si="162"/>
        <v>0</v>
      </c>
      <c r="H96" s="175">
        <v>4</v>
      </c>
      <c r="I96" s="176">
        <v>13000</v>
      </c>
      <c r="J96" s="180">
        <f t="shared" si="163"/>
        <v>52000</v>
      </c>
      <c r="K96" s="171"/>
      <c r="L96" s="171"/>
      <c r="M96" s="173">
        <f t="shared" si="153"/>
        <v>0</v>
      </c>
      <c r="N96" s="171">
        <v>4</v>
      </c>
      <c r="O96" s="171">
        <v>5000</v>
      </c>
      <c r="P96" s="173">
        <f t="shared" si="154"/>
        <v>20000</v>
      </c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245">
        <f t="shared" si="164"/>
        <v>0</v>
      </c>
      <c r="AD96" s="263">
        <f t="shared" si="165"/>
        <v>72000</v>
      </c>
      <c r="AE96" s="480">
        <f t="shared" si="166"/>
        <v>-72000</v>
      </c>
      <c r="AF96" s="483" t="e">
        <f t="shared" si="167"/>
        <v>#DIV/0!</v>
      </c>
      <c r="AG96" s="887"/>
      <c r="AH96" s="120"/>
      <c r="AI96" s="120"/>
    </row>
    <row r="97" spans="1:35" s="20" customFormat="1" ht="15.75" thickBot="1" x14ac:dyDescent="0.3">
      <c r="A97" s="690" t="s">
        <v>130</v>
      </c>
      <c r="B97" s="691"/>
      <c r="C97" s="692"/>
      <c r="D97" s="436"/>
      <c r="E97" s="227">
        <f>E85+E83</f>
        <v>7</v>
      </c>
      <c r="F97" s="227">
        <f t="shared" ref="F97:AE97" si="168">F85+F83</f>
        <v>9000</v>
      </c>
      <c r="G97" s="227">
        <f>G85+G83</f>
        <v>83000</v>
      </c>
      <c r="H97" s="227">
        <f t="shared" si="168"/>
        <v>17</v>
      </c>
      <c r="I97" s="227">
        <f t="shared" si="168"/>
        <v>53000</v>
      </c>
      <c r="J97" s="227">
        <f t="shared" si="168"/>
        <v>190000</v>
      </c>
      <c r="K97" s="227">
        <f t="shared" si="168"/>
        <v>186</v>
      </c>
      <c r="L97" s="227">
        <f t="shared" si="168"/>
        <v>24950</v>
      </c>
      <c r="M97" s="227">
        <f t="shared" si="168"/>
        <v>151600</v>
      </c>
      <c r="N97" s="227">
        <f t="shared" si="168"/>
        <v>248</v>
      </c>
      <c r="O97" s="227">
        <f t="shared" si="168"/>
        <v>98020.2</v>
      </c>
      <c r="P97" s="227">
        <f t="shared" si="168"/>
        <v>281101</v>
      </c>
      <c r="Q97" s="227">
        <f t="shared" si="168"/>
        <v>0</v>
      </c>
      <c r="R97" s="227">
        <f t="shared" si="168"/>
        <v>0</v>
      </c>
      <c r="S97" s="227">
        <f t="shared" si="168"/>
        <v>0</v>
      </c>
      <c r="T97" s="227">
        <f t="shared" si="168"/>
        <v>0</v>
      </c>
      <c r="U97" s="227">
        <f t="shared" si="168"/>
        <v>0</v>
      </c>
      <c r="V97" s="227">
        <f t="shared" si="168"/>
        <v>0</v>
      </c>
      <c r="W97" s="227">
        <f t="shared" si="168"/>
        <v>0</v>
      </c>
      <c r="X97" s="227">
        <f t="shared" si="168"/>
        <v>0</v>
      </c>
      <c r="Y97" s="227">
        <f t="shared" si="168"/>
        <v>0</v>
      </c>
      <c r="Z97" s="227">
        <f t="shared" si="168"/>
        <v>0</v>
      </c>
      <c r="AA97" s="227">
        <f t="shared" si="168"/>
        <v>0</v>
      </c>
      <c r="AB97" s="227">
        <f t="shared" si="168"/>
        <v>0</v>
      </c>
      <c r="AC97" s="227">
        <f>AC85+AC83</f>
        <v>234600</v>
      </c>
      <c r="AD97" s="227">
        <f t="shared" si="168"/>
        <v>471101</v>
      </c>
      <c r="AE97" s="227">
        <f t="shared" si="168"/>
        <v>-236501</v>
      </c>
      <c r="AF97" s="350">
        <f t="shared" si="142"/>
        <v>-1.0081031543052004</v>
      </c>
      <c r="AG97" s="328"/>
      <c r="AH97" s="120"/>
      <c r="AI97" s="120"/>
    </row>
    <row r="98" spans="1:35" s="43" customFormat="1" ht="16.5" thickBot="1" x14ac:dyDescent="0.3">
      <c r="A98" s="49" t="s">
        <v>57</v>
      </c>
      <c r="B98" s="44"/>
      <c r="C98" s="85"/>
      <c r="D98" s="73"/>
      <c r="E98" s="228"/>
      <c r="F98" s="228"/>
      <c r="G98" s="229">
        <f>G34+G45+G51+G55+G59+G67+G70+G76+G81+G97</f>
        <v>1166270.1900621117</v>
      </c>
      <c r="H98" s="230"/>
      <c r="I98" s="230"/>
      <c r="J98" s="229">
        <f>J34+J45+J51+J55+J59+J67+J70+J76+J81+J97</f>
        <v>1141918.6499999999</v>
      </c>
      <c r="K98" s="228"/>
      <c r="L98" s="228"/>
      <c r="M98" s="229">
        <f>M34+M45+M51+M55+M59+M67+M70+M76+M81+M97</f>
        <v>586920</v>
      </c>
      <c r="N98" s="229"/>
      <c r="O98" s="229"/>
      <c r="P98" s="229">
        <f t="shared" ref="P98:AB98" si="169">P34+P45+P51+P55+P59+P67+P70+P76+P81+P97</f>
        <v>571261.42999999993</v>
      </c>
      <c r="Q98" s="229">
        <f t="shared" si="169"/>
        <v>0</v>
      </c>
      <c r="R98" s="229">
        <f t="shared" si="169"/>
        <v>0</v>
      </c>
      <c r="S98" s="229">
        <f t="shared" si="169"/>
        <v>0</v>
      </c>
      <c r="T98" s="229">
        <f t="shared" si="169"/>
        <v>0</v>
      </c>
      <c r="U98" s="229">
        <f t="shared" si="169"/>
        <v>0</v>
      </c>
      <c r="V98" s="229">
        <f t="shared" si="169"/>
        <v>0</v>
      </c>
      <c r="W98" s="229">
        <f t="shared" si="169"/>
        <v>0</v>
      </c>
      <c r="X98" s="229">
        <f t="shared" si="169"/>
        <v>0</v>
      </c>
      <c r="Y98" s="229">
        <f t="shared" si="169"/>
        <v>0</v>
      </c>
      <c r="Z98" s="229">
        <f t="shared" si="169"/>
        <v>0</v>
      </c>
      <c r="AA98" s="229">
        <f t="shared" si="169"/>
        <v>0</v>
      </c>
      <c r="AB98" s="229">
        <f t="shared" si="169"/>
        <v>0</v>
      </c>
      <c r="AC98" s="229">
        <f>AC34+AC45+AC51+AC55+AC59+AC67+AC70+AC76+AC81+AC97</f>
        <v>1753190.1900621117</v>
      </c>
      <c r="AD98" s="229">
        <f>AD34+AD45+AD51+AD55+AD59+AD67+AD70+AD76+AD81+AD97</f>
        <v>1713180.08</v>
      </c>
      <c r="AE98" s="229">
        <f t="shared" ref="AE98" si="170">AC98-AD98</f>
        <v>40010.110062111635</v>
      </c>
      <c r="AF98" s="351">
        <f t="shared" si="142"/>
        <v>2.2821317555224378E-2</v>
      </c>
      <c r="AG98" s="329"/>
      <c r="AH98" s="121"/>
      <c r="AI98" s="121"/>
    </row>
    <row r="99" spans="1:35" s="38" customFormat="1" ht="15.75" thickBot="1" x14ac:dyDescent="0.3">
      <c r="A99" s="686"/>
      <c r="B99" s="686"/>
      <c r="C99" s="686"/>
      <c r="D99" s="37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2"/>
      <c r="AD99" s="232"/>
      <c r="AE99" s="232"/>
      <c r="AF99" s="249"/>
      <c r="AG99" s="330"/>
      <c r="AH99" s="122"/>
      <c r="AI99" s="122"/>
    </row>
    <row r="100" spans="1:35" ht="16.5" thickBot="1" x14ac:dyDescent="0.3">
      <c r="A100" s="683" t="s">
        <v>58</v>
      </c>
      <c r="B100" s="684"/>
      <c r="C100" s="685"/>
      <c r="D100" s="39"/>
      <c r="E100" s="233"/>
      <c r="F100" s="233"/>
      <c r="G100" s="233">
        <f>Фінансування!C20-Витрати!G98</f>
        <v>-6.2111765146255493E-5</v>
      </c>
      <c r="H100" s="233"/>
      <c r="I100" s="233"/>
      <c r="J100" s="233">
        <f>Фінансування!C21-Витрати!J98</f>
        <v>0</v>
      </c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>
        <f>Фінансування!N20-Витрати!AC98</f>
        <v>-6.2111765146255493E-5</v>
      </c>
      <c r="AD100" s="233">
        <f>Фінансування!N21-Витрати!AD98</f>
        <v>0</v>
      </c>
      <c r="AE100" s="234"/>
      <c r="AF100" s="250"/>
      <c r="AG100" s="369"/>
      <c r="AH100" s="123"/>
      <c r="AI100" s="123"/>
    </row>
    <row r="101" spans="1:35" x14ac:dyDescent="0.25">
      <c r="A101" s="58"/>
      <c r="B101" s="8"/>
      <c r="C101" s="92"/>
      <c r="D101" s="4"/>
      <c r="E101" s="4"/>
      <c r="F101" s="4"/>
      <c r="G101" s="4"/>
      <c r="H101" s="4"/>
      <c r="I101" s="4"/>
      <c r="J101" s="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5"/>
      <c r="AD101" s="5"/>
      <c r="AE101" s="5"/>
      <c r="AF101" s="5"/>
      <c r="AG101" s="331"/>
    </row>
    <row r="102" spans="1:35" x14ac:dyDescent="0.25">
      <c r="A102" s="59"/>
      <c r="B102" s="8"/>
      <c r="C102" s="9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884"/>
      <c r="AD102" s="884"/>
      <c r="AE102" s="2"/>
      <c r="AF102" s="2"/>
      <c r="AG102" s="326"/>
    </row>
    <row r="103" spans="1:35" x14ac:dyDescent="0.25">
      <c r="A103" s="59"/>
      <c r="B103" s="8"/>
      <c r="C103" s="9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2"/>
      <c r="AE103" s="2"/>
      <c r="AF103" s="2"/>
      <c r="AG103" s="326"/>
    </row>
    <row r="104" spans="1:35" x14ac:dyDescent="0.25">
      <c r="A104" s="59"/>
      <c r="B104" s="8"/>
      <c r="C104" s="9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2"/>
      <c r="AE104" s="2"/>
      <c r="AF104" s="2"/>
      <c r="AG104" s="326"/>
    </row>
    <row r="105" spans="1:35" x14ac:dyDescent="0.25">
      <c r="A105" s="59"/>
      <c r="B105" s="8"/>
      <c r="C105" t="s">
        <v>86</v>
      </c>
      <c r="D105" s="118"/>
      <c r="E105" s="118"/>
      <c r="G105" s="118"/>
      <c r="H105" s="118"/>
      <c r="I105" s="11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2"/>
      <c r="AE105" s="2"/>
      <c r="AF105" s="2"/>
      <c r="AG105" s="326"/>
    </row>
    <row r="106" spans="1:35" x14ac:dyDescent="0.25">
      <c r="A106" s="59"/>
      <c r="B106" s="8"/>
      <c r="C106"/>
      <c r="D106" t="s">
        <v>87</v>
      </c>
      <c r="G106" t="s">
        <v>88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2"/>
      <c r="AE106" s="2"/>
      <c r="AF106" s="2"/>
      <c r="AG106" s="326"/>
    </row>
    <row r="107" spans="1:35" x14ac:dyDescent="0.25">
      <c r="A107" s="59"/>
      <c r="B107" s="8"/>
      <c r="C107" s="9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2"/>
      <c r="AE107" s="2"/>
      <c r="AF107" s="2"/>
      <c r="AG107" s="326"/>
    </row>
    <row r="108" spans="1:35" x14ac:dyDescent="0.25">
      <c r="A108" s="59"/>
      <c r="B108" s="8"/>
      <c r="C108" s="9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2"/>
      <c r="AE108" s="2"/>
      <c r="AF108" s="2"/>
      <c r="AG108" s="326"/>
    </row>
  </sheetData>
  <autoFilter ref="A9:AF9"/>
  <mergeCells count="31">
    <mergeCell ref="AG18:AG20"/>
    <mergeCell ref="AG22:AG23"/>
    <mergeCell ref="AG30:AG33"/>
    <mergeCell ref="AG40:AG44"/>
    <mergeCell ref="AG92:AG96"/>
    <mergeCell ref="AG6:AG8"/>
    <mergeCell ref="AC6:AF6"/>
    <mergeCell ref="AE7:AF7"/>
    <mergeCell ref="AC7:AC8"/>
    <mergeCell ref="AD7:AD8"/>
    <mergeCell ref="C6:C8"/>
    <mergeCell ref="D6:D8"/>
    <mergeCell ref="E7:G7"/>
    <mergeCell ref="E6:J6"/>
    <mergeCell ref="H7:J7"/>
    <mergeCell ref="W6:AB6"/>
    <mergeCell ref="W7:Y7"/>
    <mergeCell ref="Z7:AB7"/>
    <mergeCell ref="A100:C100"/>
    <mergeCell ref="A99:C99"/>
    <mergeCell ref="A76:C76"/>
    <mergeCell ref="A97:C97"/>
    <mergeCell ref="A81:C81"/>
    <mergeCell ref="K7:M7"/>
    <mergeCell ref="N7:P7"/>
    <mergeCell ref="K6:P6"/>
    <mergeCell ref="Q6:V6"/>
    <mergeCell ref="Q7:S7"/>
    <mergeCell ref="T7:V7"/>
    <mergeCell ref="A6:A8"/>
    <mergeCell ref="B6:B8"/>
  </mergeCells>
  <pageMargins left="0" right="0" top="0.35433070866141736" bottom="0.35433070866141736" header="0.31496062992125984" footer="0.31496062992125984"/>
  <pageSetup paperSize="9" scale="56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9"/>
  <sheetViews>
    <sheetView topLeftCell="A13" zoomScale="90" zoomScaleNormal="90" workbookViewId="0">
      <selection activeCell="G123" sqref="G123"/>
    </sheetView>
  </sheetViews>
  <sheetFormatPr defaultColWidth="8.85546875" defaultRowHeight="15.75" x14ac:dyDescent="0.25"/>
  <cols>
    <col min="1" max="1" width="8.7109375" style="488" customWidth="1"/>
    <col min="2" max="2" width="22.42578125" style="489" customWidth="1"/>
    <col min="3" max="3" width="11.7109375" style="490" customWidth="1"/>
    <col min="4" max="4" width="13.85546875" style="491" customWidth="1"/>
    <col min="5" max="5" width="12.5703125" style="492" bestFit="1" customWidth="1"/>
    <col min="6" max="6" width="13.28515625" style="492" customWidth="1"/>
    <col min="7" max="7" width="38.42578125" style="502" customWidth="1"/>
    <col min="8" max="8" width="11.42578125" style="503" customWidth="1"/>
    <col min="9" max="9" width="17.5703125" style="504" customWidth="1"/>
    <col min="10" max="16384" width="8.85546875" style="491"/>
  </cols>
  <sheetData>
    <row r="1" spans="1:14" x14ac:dyDescent="0.25">
      <c r="G1" s="308"/>
      <c r="H1" s="307"/>
      <c r="I1" s="310" t="s">
        <v>156</v>
      </c>
    </row>
    <row r="2" spans="1:14" ht="15.6" customHeight="1" x14ac:dyDescent="0.25">
      <c r="G2" s="775" t="s">
        <v>158</v>
      </c>
      <c r="H2" s="775"/>
      <c r="I2" s="775"/>
    </row>
    <row r="3" spans="1:14" x14ac:dyDescent="0.25">
      <c r="G3" s="775"/>
      <c r="H3" s="775"/>
      <c r="I3" s="775"/>
    </row>
    <row r="4" spans="1:14" ht="15.6" customHeight="1" x14ac:dyDescent="0.25">
      <c r="G4" s="775"/>
      <c r="H4" s="775"/>
      <c r="I4" s="775"/>
    </row>
    <row r="5" spans="1:14" x14ac:dyDescent="0.25">
      <c r="G5" s="775"/>
      <c r="H5" s="775"/>
      <c r="I5" s="775"/>
    </row>
    <row r="6" spans="1:14" x14ac:dyDescent="0.25">
      <c r="A6" s="776" t="s">
        <v>500</v>
      </c>
      <c r="B6" s="776"/>
      <c r="C6" s="776"/>
      <c r="D6" s="776"/>
      <c r="E6" s="776"/>
      <c r="F6" s="776"/>
      <c r="G6" s="776"/>
      <c r="H6" s="776"/>
      <c r="I6" s="776"/>
      <c r="J6" s="489"/>
      <c r="K6" s="489"/>
      <c r="L6" s="489"/>
      <c r="M6" s="489"/>
    </row>
    <row r="8" spans="1:14" ht="31.9" customHeight="1" x14ac:dyDescent="0.25">
      <c r="A8" s="493"/>
      <c r="B8" s="494" t="s">
        <v>218</v>
      </c>
      <c r="C8" s="777" t="s">
        <v>219</v>
      </c>
      <c r="D8" s="777"/>
      <c r="E8" s="777"/>
      <c r="F8" s="777"/>
      <c r="G8" s="777"/>
      <c r="H8" s="777"/>
      <c r="I8" s="777"/>
      <c r="J8" s="495"/>
      <c r="K8" s="495"/>
      <c r="L8" s="495"/>
      <c r="M8" s="495"/>
      <c r="N8" s="496"/>
    </row>
    <row r="9" spans="1:14" ht="16.149999999999999" customHeight="1" x14ac:dyDescent="0.25">
      <c r="B9" s="495"/>
      <c r="C9" s="497"/>
      <c r="D9" s="498"/>
      <c r="E9" s="499"/>
      <c r="F9" s="499"/>
      <c r="G9" s="500"/>
      <c r="H9" s="501"/>
      <c r="I9" s="499"/>
      <c r="J9" s="498"/>
      <c r="K9" s="498"/>
      <c r="L9" s="498"/>
      <c r="M9" s="498"/>
    </row>
    <row r="10" spans="1:14" x14ac:dyDescent="0.25">
      <c r="A10" s="776" t="s">
        <v>220</v>
      </c>
      <c r="B10" s="776"/>
      <c r="C10" s="778" t="s">
        <v>221</v>
      </c>
      <c r="D10" s="778"/>
      <c r="E10" s="778"/>
      <c r="F10" s="778"/>
      <c r="G10" s="778"/>
      <c r="H10" s="778"/>
      <c r="I10" s="778"/>
    </row>
    <row r="11" spans="1:14" ht="16.5" thickBot="1" x14ac:dyDescent="0.3"/>
    <row r="12" spans="1:14" s="505" customFormat="1" ht="30.6" customHeight="1" x14ac:dyDescent="0.25">
      <c r="A12" s="779" t="s">
        <v>146</v>
      </c>
      <c r="B12" s="780"/>
      <c r="C12" s="781"/>
      <c r="D12" s="782" t="s">
        <v>222</v>
      </c>
      <c r="E12" s="783"/>
      <c r="F12" s="783"/>
      <c r="G12" s="783"/>
      <c r="H12" s="784"/>
      <c r="I12" s="785"/>
    </row>
    <row r="13" spans="1:14" s="513" customFormat="1" ht="63.75" x14ac:dyDescent="0.2">
      <c r="A13" s="506" t="s">
        <v>223</v>
      </c>
      <c r="B13" s="507" t="s">
        <v>0</v>
      </c>
      <c r="C13" s="508" t="s">
        <v>224</v>
      </c>
      <c r="D13" s="506" t="s">
        <v>225</v>
      </c>
      <c r="E13" s="507" t="s">
        <v>224</v>
      </c>
      <c r="F13" s="509" t="s">
        <v>226</v>
      </c>
      <c r="G13" s="510" t="s">
        <v>227</v>
      </c>
      <c r="H13" s="511" t="s">
        <v>228</v>
      </c>
      <c r="I13" s="512" t="s">
        <v>229</v>
      </c>
    </row>
    <row r="14" spans="1:14" s="513" customFormat="1" ht="16.899999999999999" customHeight="1" x14ac:dyDescent="0.2">
      <c r="A14" s="514" t="s">
        <v>28</v>
      </c>
      <c r="B14" s="515" t="s">
        <v>38</v>
      </c>
      <c r="C14" s="516"/>
      <c r="D14" s="517"/>
      <c r="E14" s="515"/>
      <c r="F14" s="518"/>
      <c r="G14" s="519"/>
      <c r="H14" s="518"/>
      <c r="I14" s="516"/>
    </row>
    <row r="15" spans="1:14" s="522" customFormat="1" ht="46.15" customHeight="1" x14ac:dyDescent="0.2">
      <c r="A15" s="786" t="s">
        <v>44</v>
      </c>
      <c r="B15" s="788" t="s">
        <v>230</v>
      </c>
      <c r="C15" s="754">
        <f>[1]Кошторис_зкоригований!H12</f>
        <v>47000</v>
      </c>
      <c r="D15" s="771" t="s">
        <v>231</v>
      </c>
      <c r="E15" s="729">
        <f>SUM(H15:H29)</f>
        <v>47000</v>
      </c>
      <c r="F15" s="723" t="s">
        <v>459</v>
      </c>
      <c r="G15" s="792" t="s">
        <v>232</v>
      </c>
      <c r="H15" s="520">
        <v>1891.75</v>
      </c>
      <c r="I15" s="521" t="s">
        <v>233</v>
      </c>
    </row>
    <row r="16" spans="1:14" s="522" customFormat="1" ht="26.45" customHeight="1" x14ac:dyDescent="0.2">
      <c r="A16" s="786"/>
      <c r="B16" s="788"/>
      <c r="C16" s="754"/>
      <c r="D16" s="771"/>
      <c r="E16" s="729"/>
      <c r="F16" s="724"/>
      <c r="G16" s="793"/>
      <c r="H16" s="520">
        <f>2350*0.18</f>
        <v>423</v>
      </c>
      <c r="I16" s="521" t="s">
        <v>234</v>
      </c>
    </row>
    <row r="17" spans="1:9" s="522" customFormat="1" ht="12" customHeight="1" x14ac:dyDescent="0.2">
      <c r="A17" s="786"/>
      <c r="B17" s="788"/>
      <c r="C17" s="754"/>
      <c r="D17" s="771"/>
      <c r="E17" s="729"/>
      <c r="F17" s="724"/>
      <c r="G17" s="794"/>
      <c r="H17" s="520">
        <f>2350*0.015</f>
        <v>35.25</v>
      </c>
      <c r="I17" s="521" t="s">
        <v>235</v>
      </c>
    </row>
    <row r="18" spans="1:9" s="522" customFormat="1" ht="12.75" x14ac:dyDescent="0.2">
      <c r="A18" s="786"/>
      <c r="B18" s="788"/>
      <c r="C18" s="754"/>
      <c r="D18" s="771"/>
      <c r="E18" s="729"/>
      <c r="F18" s="724"/>
      <c r="G18" s="759" t="s">
        <v>236</v>
      </c>
      <c r="H18" s="520">
        <v>9458.75</v>
      </c>
      <c r="I18" s="521" t="s">
        <v>237</v>
      </c>
    </row>
    <row r="19" spans="1:9" s="522" customFormat="1" ht="27.6" customHeight="1" x14ac:dyDescent="0.2">
      <c r="A19" s="786"/>
      <c r="B19" s="788"/>
      <c r="C19" s="754"/>
      <c r="D19" s="771"/>
      <c r="E19" s="729"/>
      <c r="F19" s="724"/>
      <c r="G19" s="759"/>
      <c r="H19" s="520">
        <v>2115</v>
      </c>
      <c r="I19" s="521" t="s">
        <v>238</v>
      </c>
    </row>
    <row r="20" spans="1:9" s="522" customFormat="1" ht="25.9" customHeight="1" x14ac:dyDescent="0.2">
      <c r="A20" s="786"/>
      <c r="B20" s="788"/>
      <c r="C20" s="754"/>
      <c r="D20" s="771"/>
      <c r="E20" s="729"/>
      <c r="F20" s="724"/>
      <c r="G20" s="759"/>
      <c r="H20" s="520">
        <v>176.25</v>
      </c>
      <c r="I20" s="521" t="s">
        <v>239</v>
      </c>
    </row>
    <row r="21" spans="1:9" s="522" customFormat="1" ht="22.9" customHeight="1" x14ac:dyDescent="0.2">
      <c r="A21" s="786"/>
      <c r="B21" s="788"/>
      <c r="C21" s="754"/>
      <c r="D21" s="771"/>
      <c r="E21" s="729"/>
      <c r="F21" s="724"/>
      <c r="G21" s="759" t="s">
        <v>240</v>
      </c>
      <c r="H21" s="520">
        <v>9458.75</v>
      </c>
      <c r="I21" s="521" t="s">
        <v>241</v>
      </c>
    </row>
    <row r="22" spans="1:9" s="522" customFormat="1" ht="22.9" customHeight="1" x14ac:dyDescent="0.2">
      <c r="A22" s="786"/>
      <c r="B22" s="788"/>
      <c r="C22" s="754"/>
      <c r="D22" s="771"/>
      <c r="E22" s="729"/>
      <c r="F22" s="724"/>
      <c r="G22" s="759"/>
      <c r="H22" s="520">
        <v>2115</v>
      </c>
      <c r="I22" s="521" t="s">
        <v>242</v>
      </c>
    </row>
    <row r="23" spans="1:9" s="522" customFormat="1" ht="23.45" customHeight="1" x14ac:dyDescent="0.2">
      <c r="A23" s="786"/>
      <c r="B23" s="788"/>
      <c r="C23" s="754"/>
      <c r="D23" s="771"/>
      <c r="E23" s="729"/>
      <c r="F23" s="724"/>
      <c r="G23" s="759"/>
      <c r="H23" s="520">
        <v>176.25</v>
      </c>
      <c r="I23" s="521" t="s">
        <v>243</v>
      </c>
    </row>
    <row r="24" spans="1:9" s="522" customFormat="1" ht="25.9" customHeight="1" x14ac:dyDescent="0.2">
      <c r="A24" s="786"/>
      <c r="B24" s="788"/>
      <c r="C24" s="754"/>
      <c r="D24" s="771"/>
      <c r="E24" s="729"/>
      <c r="F24" s="724"/>
      <c r="G24" s="759" t="s">
        <v>244</v>
      </c>
      <c r="H24" s="520">
        <v>9458.75</v>
      </c>
      <c r="I24" s="521" t="s">
        <v>245</v>
      </c>
    </row>
    <row r="25" spans="1:9" s="522" customFormat="1" ht="23.45" customHeight="1" x14ac:dyDescent="0.2">
      <c r="A25" s="786"/>
      <c r="B25" s="788"/>
      <c r="C25" s="754"/>
      <c r="D25" s="771"/>
      <c r="E25" s="729"/>
      <c r="F25" s="724"/>
      <c r="G25" s="759"/>
      <c r="H25" s="520">
        <v>2115</v>
      </c>
      <c r="I25" s="521" t="s">
        <v>246</v>
      </c>
    </row>
    <row r="26" spans="1:9" s="522" customFormat="1" ht="19.149999999999999" customHeight="1" x14ac:dyDescent="0.2">
      <c r="A26" s="786"/>
      <c r="B26" s="788"/>
      <c r="C26" s="754"/>
      <c r="D26" s="771"/>
      <c r="E26" s="729"/>
      <c r="F26" s="724"/>
      <c r="G26" s="759"/>
      <c r="H26" s="520">
        <v>176.25</v>
      </c>
      <c r="I26" s="521" t="s">
        <v>247</v>
      </c>
    </row>
    <row r="27" spans="1:9" s="522" customFormat="1" ht="27.6" customHeight="1" x14ac:dyDescent="0.2">
      <c r="A27" s="786"/>
      <c r="B27" s="788"/>
      <c r="C27" s="754"/>
      <c r="D27" s="771"/>
      <c r="E27" s="729"/>
      <c r="F27" s="724"/>
      <c r="G27" s="759" t="s">
        <v>248</v>
      </c>
      <c r="H27" s="520">
        <v>7567</v>
      </c>
      <c r="I27" s="521" t="s">
        <v>249</v>
      </c>
    </row>
    <row r="28" spans="1:9" s="522" customFormat="1" ht="22.9" customHeight="1" x14ac:dyDescent="0.2">
      <c r="A28" s="786"/>
      <c r="B28" s="788"/>
      <c r="C28" s="754"/>
      <c r="D28" s="771"/>
      <c r="E28" s="729"/>
      <c r="F28" s="724"/>
      <c r="G28" s="759"/>
      <c r="H28" s="520">
        <v>1692</v>
      </c>
      <c r="I28" s="521" t="s">
        <v>250</v>
      </c>
    </row>
    <row r="29" spans="1:9" s="522" customFormat="1" ht="18" customHeight="1" x14ac:dyDescent="0.2">
      <c r="A29" s="786"/>
      <c r="B29" s="788"/>
      <c r="C29" s="754"/>
      <c r="D29" s="771"/>
      <c r="E29" s="729"/>
      <c r="F29" s="725"/>
      <c r="G29" s="759"/>
      <c r="H29" s="520">
        <v>141</v>
      </c>
      <c r="I29" s="521" t="s">
        <v>251</v>
      </c>
    </row>
    <row r="30" spans="1:9" s="522" customFormat="1" ht="36" customHeight="1" x14ac:dyDescent="0.2">
      <c r="A30" s="786" t="s">
        <v>45</v>
      </c>
      <c r="B30" s="753" t="s">
        <v>252</v>
      </c>
      <c r="C30" s="754">
        <f>[1]Кошторис_зкоригований!H13</f>
        <v>45000</v>
      </c>
      <c r="D30" s="771" t="s">
        <v>253</v>
      </c>
      <c r="E30" s="787">
        <f>SUM(H30:H44)</f>
        <v>45000</v>
      </c>
      <c r="F30" s="789" t="s">
        <v>460</v>
      </c>
      <c r="G30" s="759" t="s">
        <v>254</v>
      </c>
      <c r="H30" s="520">
        <v>3823.75</v>
      </c>
      <c r="I30" s="521" t="s">
        <v>255</v>
      </c>
    </row>
    <row r="31" spans="1:9" s="522" customFormat="1" ht="22.9" customHeight="1" x14ac:dyDescent="0.2">
      <c r="A31" s="786"/>
      <c r="B31" s="753"/>
      <c r="C31" s="754"/>
      <c r="D31" s="771"/>
      <c r="E31" s="787"/>
      <c r="F31" s="790"/>
      <c r="G31" s="759"/>
      <c r="H31" s="520">
        <f>4750*0.18</f>
        <v>855</v>
      </c>
      <c r="I31" s="521" t="s">
        <v>234</v>
      </c>
    </row>
    <row r="32" spans="1:9" s="522" customFormat="1" ht="12.75" x14ac:dyDescent="0.2">
      <c r="A32" s="786"/>
      <c r="B32" s="753"/>
      <c r="C32" s="754"/>
      <c r="D32" s="771"/>
      <c r="E32" s="787"/>
      <c r="F32" s="790"/>
      <c r="G32" s="759"/>
      <c r="H32" s="520">
        <f>4750*0.015</f>
        <v>71.25</v>
      </c>
      <c r="I32" s="521" t="s">
        <v>235</v>
      </c>
    </row>
    <row r="33" spans="1:11" s="522" customFormat="1" ht="24.6" customHeight="1" x14ac:dyDescent="0.2">
      <c r="A33" s="786"/>
      <c r="B33" s="753"/>
      <c r="C33" s="754"/>
      <c r="D33" s="771"/>
      <c r="E33" s="787"/>
      <c r="F33" s="790"/>
      <c r="G33" s="759" t="s">
        <v>256</v>
      </c>
      <c r="H33" s="520">
        <v>8372</v>
      </c>
      <c r="I33" s="521" t="s">
        <v>257</v>
      </c>
    </row>
    <row r="34" spans="1:11" s="522" customFormat="1" ht="24.6" customHeight="1" x14ac:dyDescent="0.2">
      <c r="A34" s="786"/>
      <c r="B34" s="753"/>
      <c r="C34" s="754"/>
      <c r="D34" s="771"/>
      <c r="E34" s="787"/>
      <c r="F34" s="790"/>
      <c r="G34" s="759"/>
      <c r="H34" s="520">
        <v>1872</v>
      </c>
      <c r="I34" s="521" t="s">
        <v>238</v>
      </c>
    </row>
    <row r="35" spans="1:11" s="522" customFormat="1" ht="20.45" customHeight="1" x14ac:dyDescent="0.2">
      <c r="A35" s="786"/>
      <c r="B35" s="753"/>
      <c r="C35" s="754"/>
      <c r="D35" s="771"/>
      <c r="E35" s="787"/>
      <c r="F35" s="790"/>
      <c r="G35" s="759"/>
      <c r="H35" s="520">
        <f>[2]Sheet1!$U$23</f>
        <v>156</v>
      </c>
      <c r="I35" s="521" t="s">
        <v>239</v>
      </c>
    </row>
    <row r="36" spans="1:11" s="522" customFormat="1" ht="25.9" customHeight="1" x14ac:dyDescent="0.2">
      <c r="A36" s="786"/>
      <c r="B36" s="753"/>
      <c r="C36" s="754"/>
      <c r="D36" s="771"/>
      <c r="E36" s="787"/>
      <c r="F36" s="790"/>
      <c r="G36" s="759" t="s">
        <v>258</v>
      </c>
      <c r="H36" s="520">
        <v>8372</v>
      </c>
      <c r="I36" s="521" t="s">
        <v>259</v>
      </c>
    </row>
    <row r="37" spans="1:11" s="522" customFormat="1" ht="19.149999999999999" customHeight="1" x14ac:dyDescent="0.2">
      <c r="A37" s="786"/>
      <c r="B37" s="753"/>
      <c r="C37" s="754"/>
      <c r="D37" s="771"/>
      <c r="E37" s="787"/>
      <c r="F37" s="790"/>
      <c r="G37" s="759"/>
      <c r="H37" s="520">
        <v>1872</v>
      </c>
      <c r="I37" s="521" t="s">
        <v>242</v>
      </c>
    </row>
    <row r="38" spans="1:11" s="522" customFormat="1" ht="24.6" customHeight="1" x14ac:dyDescent="0.2">
      <c r="A38" s="786"/>
      <c r="B38" s="753"/>
      <c r="C38" s="754"/>
      <c r="D38" s="771"/>
      <c r="E38" s="787"/>
      <c r="F38" s="790"/>
      <c r="G38" s="759"/>
      <c r="H38" s="520">
        <v>156</v>
      </c>
      <c r="I38" s="521" t="s">
        <v>243</v>
      </c>
    </row>
    <row r="39" spans="1:11" s="522" customFormat="1" ht="25.9" customHeight="1" x14ac:dyDescent="0.2">
      <c r="A39" s="786"/>
      <c r="B39" s="753"/>
      <c r="C39" s="754"/>
      <c r="D39" s="771"/>
      <c r="E39" s="787"/>
      <c r="F39" s="790"/>
      <c r="G39" s="759" t="s">
        <v>260</v>
      </c>
      <c r="H39" s="520">
        <v>8372</v>
      </c>
      <c r="I39" s="521" t="s">
        <v>261</v>
      </c>
    </row>
    <row r="40" spans="1:11" s="522" customFormat="1" ht="18.600000000000001" customHeight="1" x14ac:dyDescent="0.2">
      <c r="A40" s="786"/>
      <c r="B40" s="753"/>
      <c r="C40" s="754"/>
      <c r="D40" s="771"/>
      <c r="E40" s="787"/>
      <c r="F40" s="790"/>
      <c r="G40" s="759"/>
      <c r="H40" s="520">
        <v>1872</v>
      </c>
      <c r="I40" s="521" t="s">
        <v>246</v>
      </c>
    </row>
    <row r="41" spans="1:11" s="522" customFormat="1" ht="27" customHeight="1" x14ac:dyDescent="0.2">
      <c r="A41" s="786"/>
      <c r="B41" s="753"/>
      <c r="C41" s="754"/>
      <c r="D41" s="771"/>
      <c r="E41" s="787"/>
      <c r="F41" s="790"/>
      <c r="G41" s="759"/>
      <c r="H41" s="520">
        <v>156</v>
      </c>
      <c r="I41" s="521" t="s">
        <v>247</v>
      </c>
    </row>
    <row r="42" spans="1:11" s="522" customFormat="1" ht="19.899999999999999" customHeight="1" x14ac:dyDescent="0.2">
      <c r="A42" s="786"/>
      <c r="B42" s="753"/>
      <c r="C42" s="754"/>
      <c r="D42" s="771"/>
      <c r="E42" s="787"/>
      <c r="F42" s="790"/>
      <c r="G42" s="759" t="s">
        <v>262</v>
      </c>
      <c r="H42" s="520">
        <v>7285.25</v>
      </c>
      <c r="I42" s="521" t="s">
        <v>263</v>
      </c>
    </row>
    <row r="43" spans="1:11" s="522" customFormat="1" ht="27.6" customHeight="1" x14ac:dyDescent="0.2">
      <c r="A43" s="786"/>
      <c r="B43" s="753"/>
      <c r="C43" s="754"/>
      <c r="D43" s="771"/>
      <c r="E43" s="787"/>
      <c r="F43" s="790"/>
      <c r="G43" s="759"/>
      <c r="H43" s="520">
        <v>1629</v>
      </c>
      <c r="I43" s="521" t="s">
        <v>250</v>
      </c>
    </row>
    <row r="44" spans="1:11" s="522" customFormat="1" ht="24" customHeight="1" x14ac:dyDescent="0.2">
      <c r="A44" s="786"/>
      <c r="B44" s="753"/>
      <c r="C44" s="754"/>
      <c r="D44" s="771"/>
      <c r="E44" s="787"/>
      <c r="F44" s="791"/>
      <c r="G44" s="759"/>
      <c r="H44" s="520">
        <v>135.75</v>
      </c>
      <c r="I44" s="521" t="s">
        <v>251</v>
      </c>
    </row>
    <row r="45" spans="1:11" s="522" customFormat="1" ht="12.75" x14ac:dyDescent="0.2">
      <c r="A45" s="523" t="s">
        <v>113</v>
      </c>
      <c r="B45" s="524" t="s">
        <v>30</v>
      </c>
      <c r="C45" s="525"/>
      <c r="D45" s="526"/>
      <c r="E45" s="527"/>
      <c r="F45" s="528"/>
      <c r="G45" s="529"/>
      <c r="H45" s="530"/>
      <c r="I45" s="531"/>
    </row>
    <row r="46" spans="1:11" s="522" customFormat="1" ht="95.25" customHeight="1" x14ac:dyDescent="0.2">
      <c r="A46" s="532" t="s">
        <v>46</v>
      </c>
      <c r="B46" s="533" t="s">
        <v>163</v>
      </c>
      <c r="C46" s="534">
        <v>8937.89</v>
      </c>
      <c r="D46" s="535" t="s">
        <v>264</v>
      </c>
      <c r="E46" s="520">
        <f>[1]Контрагенти!I3</f>
        <v>8937.89</v>
      </c>
      <c r="F46" s="723" t="s">
        <v>265</v>
      </c>
      <c r="G46" s="759" t="s">
        <v>266</v>
      </c>
      <c r="H46" s="520">
        <v>45619</v>
      </c>
      <c r="I46" s="536" t="s">
        <v>267</v>
      </c>
      <c r="K46" s="537"/>
    </row>
    <row r="47" spans="1:11" s="522" customFormat="1" ht="90.75" customHeight="1" x14ac:dyDescent="0.2">
      <c r="A47" s="532" t="s">
        <v>52</v>
      </c>
      <c r="B47" s="533" t="s">
        <v>167</v>
      </c>
      <c r="C47" s="534">
        <v>7150.31</v>
      </c>
      <c r="D47" s="535" t="s">
        <v>264</v>
      </c>
      <c r="E47" s="520">
        <f>C47</f>
        <v>7150.31</v>
      </c>
      <c r="F47" s="724"/>
      <c r="G47" s="759"/>
      <c r="H47" s="520">
        <v>10161.91</v>
      </c>
      <c r="I47" s="536" t="s">
        <v>268</v>
      </c>
    </row>
    <row r="48" spans="1:11" s="522" customFormat="1" ht="114.75" x14ac:dyDescent="0.2">
      <c r="A48" s="532" t="s">
        <v>54</v>
      </c>
      <c r="B48" s="533" t="s">
        <v>171</v>
      </c>
      <c r="C48" s="534">
        <f>[1]Контрагенти!H9</f>
        <v>29520</v>
      </c>
      <c r="D48" s="535" t="s">
        <v>264</v>
      </c>
      <c r="E48" s="520">
        <v>29520</v>
      </c>
      <c r="F48" s="725"/>
      <c r="G48" s="759"/>
      <c r="H48" s="520">
        <v>846.83</v>
      </c>
      <c r="I48" s="536" t="s">
        <v>269</v>
      </c>
      <c r="J48" s="537"/>
    </row>
    <row r="49" spans="1:9" s="522" customFormat="1" ht="116.45" customHeight="1" x14ac:dyDescent="0.2">
      <c r="A49" s="532" t="s">
        <v>50</v>
      </c>
      <c r="B49" s="533" t="s">
        <v>165</v>
      </c>
      <c r="C49" s="534">
        <v>8937.89</v>
      </c>
      <c r="D49" s="535" t="s">
        <v>270</v>
      </c>
      <c r="E49" s="520">
        <f>[1]Контрагенти!I4</f>
        <v>8937.89</v>
      </c>
      <c r="F49" s="723" t="s">
        <v>271</v>
      </c>
      <c r="G49" s="759" t="s">
        <v>272</v>
      </c>
      <c r="H49" s="520">
        <v>45962</v>
      </c>
      <c r="I49" s="536" t="s">
        <v>273</v>
      </c>
    </row>
    <row r="50" spans="1:9" s="522" customFormat="1" ht="39.6" customHeight="1" x14ac:dyDescent="0.2">
      <c r="A50" s="767" t="s">
        <v>67</v>
      </c>
      <c r="B50" s="753" t="s">
        <v>169</v>
      </c>
      <c r="C50" s="754">
        <v>7150.31</v>
      </c>
      <c r="D50" s="771" t="s">
        <v>270</v>
      </c>
      <c r="E50" s="729">
        <f>C50</f>
        <v>7150.31</v>
      </c>
      <c r="F50" s="724"/>
      <c r="G50" s="759"/>
      <c r="H50" s="520">
        <v>10161.91</v>
      </c>
      <c r="I50" s="536" t="s">
        <v>274</v>
      </c>
    </row>
    <row r="51" spans="1:9" s="522" customFormat="1" ht="43.15" customHeight="1" x14ac:dyDescent="0.2">
      <c r="A51" s="767"/>
      <c r="B51" s="753"/>
      <c r="C51" s="754"/>
      <c r="D51" s="771"/>
      <c r="E51" s="729"/>
      <c r="F51" s="724"/>
      <c r="G51" s="759"/>
      <c r="H51" s="520">
        <v>60.52</v>
      </c>
      <c r="I51" s="536" t="s">
        <v>275</v>
      </c>
    </row>
    <row r="52" spans="1:9" s="522" customFormat="1" ht="22.9" customHeight="1" x14ac:dyDescent="0.2">
      <c r="A52" s="767"/>
      <c r="B52" s="753"/>
      <c r="C52" s="754"/>
      <c r="D52" s="771"/>
      <c r="E52" s="729"/>
      <c r="F52" s="724"/>
      <c r="G52" s="759"/>
      <c r="H52" s="520">
        <v>846.83</v>
      </c>
      <c r="I52" s="536" t="s">
        <v>276</v>
      </c>
    </row>
    <row r="53" spans="1:9" s="522" customFormat="1" ht="138.6" customHeight="1" x14ac:dyDescent="0.2">
      <c r="A53" s="532" t="s">
        <v>175</v>
      </c>
      <c r="B53" s="533" t="s">
        <v>172</v>
      </c>
      <c r="C53" s="534">
        <f>[1]Кошторис_зкоригований!H24</f>
        <v>29520</v>
      </c>
      <c r="D53" s="535" t="s">
        <v>270</v>
      </c>
      <c r="E53" s="520">
        <v>29520</v>
      </c>
      <c r="F53" s="725"/>
      <c r="G53" s="759"/>
      <c r="H53" s="520">
        <v>5.04</v>
      </c>
      <c r="I53" s="536" t="s">
        <v>277</v>
      </c>
    </row>
    <row r="54" spans="1:9" s="522" customFormat="1" ht="101.45" customHeight="1" x14ac:dyDescent="0.2">
      <c r="A54" s="532" t="s">
        <v>51</v>
      </c>
      <c r="B54" s="533" t="s">
        <v>166</v>
      </c>
      <c r="C54" s="534">
        <v>8937.89</v>
      </c>
      <c r="D54" s="535" t="s">
        <v>278</v>
      </c>
      <c r="E54" s="520">
        <f>[1]Контрагенти!I5</f>
        <v>8937.89</v>
      </c>
      <c r="F54" s="723" t="s">
        <v>279</v>
      </c>
      <c r="G54" s="759" t="s">
        <v>280</v>
      </c>
      <c r="H54" s="520">
        <v>45962</v>
      </c>
      <c r="I54" s="536" t="s">
        <v>281</v>
      </c>
    </row>
    <row r="55" spans="1:9" s="522" customFormat="1" ht="73.150000000000006" customHeight="1" x14ac:dyDescent="0.2">
      <c r="A55" s="767" t="s">
        <v>53</v>
      </c>
      <c r="B55" s="753" t="s">
        <v>170</v>
      </c>
      <c r="C55" s="717">
        <v>7150.31</v>
      </c>
      <c r="D55" s="768" t="s">
        <v>278</v>
      </c>
      <c r="E55" s="708">
        <f>C55</f>
        <v>7150.31</v>
      </c>
      <c r="F55" s="724"/>
      <c r="G55" s="759"/>
      <c r="H55" s="520">
        <v>10161.91</v>
      </c>
      <c r="I55" s="536" t="s">
        <v>282</v>
      </c>
    </row>
    <row r="56" spans="1:9" s="522" customFormat="1" ht="12.75" x14ac:dyDescent="0.2">
      <c r="A56" s="767"/>
      <c r="B56" s="753"/>
      <c r="C56" s="718"/>
      <c r="D56" s="769"/>
      <c r="E56" s="709"/>
      <c r="F56" s="724"/>
      <c r="G56" s="759"/>
      <c r="H56" s="520">
        <v>846.83</v>
      </c>
      <c r="I56" s="536" t="s">
        <v>283</v>
      </c>
    </row>
    <row r="57" spans="1:9" s="522" customFormat="1" ht="12.75" x14ac:dyDescent="0.2">
      <c r="A57" s="767"/>
      <c r="B57" s="753"/>
      <c r="C57" s="719"/>
      <c r="D57" s="770"/>
      <c r="E57" s="710"/>
      <c r="F57" s="724"/>
      <c r="G57" s="759"/>
      <c r="H57" s="520">
        <v>60.52</v>
      </c>
      <c r="I57" s="536" t="s">
        <v>284</v>
      </c>
    </row>
    <row r="58" spans="1:9" s="522" customFormat="1" ht="140.44999999999999" customHeight="1" x14ac:dyDescent="0.2">
      <c r="A58" s="532" t="s">
        <v>176</v>
      </c>
      <c r="B58" s="533" t="s">
        <v>173</v>
      </c>
      <c r="C58" s="534">
        <f>[1]Кошторис_зкоригований!H25</f>
        <v>29520</v>
      </c>
      <c r="D58" s="535" t="s">
        <v>278</v>
      </c>
      <c r="E58" s="520">
        <v>29520</v>
      </c>
      <c r="F58" s="725"/>
      <c r="G58" s="759"/>
      <c r="H58" s="520">
        <v>5.04</v>
      </c>
      <c r="I58" s="536" t="s">
        <v>285</v>
      </c>
    </row>
    <row r="59" spans="1:9" s="522" customFormat="1" ht="42.6" customHeight="1" x14ac:dyDescent="0.2">
      <c r="A59" s="532"/>
      <c r="B59" s="533" t="s">
        <v>286</v>
      </c>
      <c r="C59" s="534"/>
      <c r="D59" s="535"/>
      <c r="E59" s="520"/>
      <c r="F59" s="538"/>
      <c r="G59" s="539" t="s">
        <v>287</v>
      </c>
      <c r="H59" s="520">
        <v>-33875.74</v>
      </c>
      <c r="I59" s="536" t="s">
        <v>250</v>
      </c>
    </row>
    <row r="60" spans="1:9" s="546" customFormat="1" ht="28.9" customHeight="1" x14ac:dyDescent="0.2">
      <c r="A60" s="773" t="s">
        <v>114</v>
      </c>
      <c r="B60" s="774"/>
      <c r="C60" s="540">
        <f>SUM(C15:C59)</f>
        <v>228824.60000000003</v>
      </c>
      <c r="D60" s="541"/>
      <c r="E60" s="542">
        <f>SUM(E15:E59)</f>
        <v>228824.60000000003</v>
      </c>
      <c r="F60" s="543"/>
      <c r="G60" s="544"/>
      <c r="H60" s="542">
        <f>SUM(H15:H59)</f>
        <v>228824.59999999998</v>
      </c>
      <c r="I60" s="545"/>
    </row>
    <row r="61" spans="1:9" s="522" customFormat="1" ht="26.45" customHeight="1" x14ac:dyDescent="0.2">
      <c r="A61" s="523" t="s">
        <v>29</v>
      </c>
      <c r="B61" s="524" t="s">
        <v>39</v>
      </c>
      <c r="C61" s="547"/>
      <c r="D61" s="548"/>
      <c r="E61" s="528"/>
      <c r="F61" s="528"/>
      <c r="G61" s="529"/>
      <c r="H61" s="530"/>
      <c r="I61" s="531"/>
    </row>
    <row r="62" spans="1:9" s="522" customFormat="1" ht="30" customHeight="1" x14ac:dyDescent="0.2">
      <c r="A62" s="752" t="s">
        <v>44</v>
      </c>
      <c r="B62" s="753" t="s">
        <v>288</v>
      </c>
      <c r="C62" s="754">
        <f>[1]Кошторис_зкоригований!H30</f>
        <v>10340</v>
      </c>
      <c r="D62" s="771" t="s">
        <v>231</v>
      </c>
      <c r="E62" s="729">
        <f>SUM(H62:H66)</f>
        <v>10340</v>
      </c>
      <c r="F62" s="756"/>
      <c r="G62" s="549" t="s">
        <v>491</v>
      </c>
      <c r="H62" s="550">
        <f>2350*0.22</f>
        <v>517</v>
      </c>
      <c r="I62" s="521" t="s">
        <v>289</v>
      </c>
    </row>
    <row r="63" spans="1:9" s="522" customFormat="1" ht="12.75" x14ac:dyDescent="0.2">
      <c r="A63" s="752"/>
      <c r="B63" s="753"/>
      <c r="C63" s="754"/>
      <c r="D63" s="771"/>
      <c r="E63" s="729"/>
      <c r="F63" s="756"/>
      <c r="G63" s="549" t="s">
        <v>492</v>
      </c>
      <c r="H63" s="550">
        <v>2585</v>
      </c>
      <c r="I63" s="521" t="s">
        <v>290</v>
      </c>
    </row>
    <row r="64" spans="1:9" s="522" customFormat="1" ht="31.9" customHeight="1" x14ac:dyDescent="0.2">
      <c r="A64" s="752"/>
      <c r="B64" s="753"/>
      <c r="C64" s="754"/>
      <c r="D64" s="771"/>
      <c r="E64" s="729"/>
      <c r="F64" s="756"/>
      <c r="G64" s="549" t="s">
        <v>497</v>
      </c>
      <c r="H64" s="550">
        <v>2585</v>
      </c>
      <c r="I64" s="521" t="s">
        <v>291</v>
      </c>
    </row>
    <row r="65" spans="1:9" s="522" customFormat="1" ht="12.75" x14ac:dyDescent="0.2">
      <c r="A65" s="752"/>
      <c r="B65" s="753"/>
      <c r="C65" s="754"/>
      <c r="D65" s="771"/>
      <c r="E65" s="729"/>
      <c r="F65" s="756"/>
      <c r="G65" s="549" t="s">
        <v>496</v>
      </c>
      <c r="H65" s="550">
        <v>2585</v>
      </c>
      <c r="I65" s="521" t="s">
        <v>292</v>
      </c>
    </row>
    <row r="66" spans="1:9" s="522" customFormat="1" ht="12.75" x14ac:dyDescent="0.2">
      <c r="A66" s="752"/>
      <c r="B66" s="753"/>
      <c r="C66" s="754"/>
      <c r="D66" s="771"/>
      <c r="E66" s="729"/>
      <c r="F66" s="756"/>
      <c r="G66" s="549" t="s">
        <v>495</v>
      </c>
      <c r="H66" s="550">
        <v>2068</v>
      </c>
      <c r="I66" s="521" t="s">
        <v>293</v>
      </c>
    </row>
    <row r="67" spans="1:9" s="522" customFormat="1" ht="31.9" customHeight="1" x14ac:dyDescent="0.2">
      <c r="A67" s="772" t="s">
        <v>45</v>
      </c>
      <c r="B67" s="753" t="s">
        <v>294</v>
      </c>
      <c r="C67" s="754">
        <f>[1]Кошторис_зкоригований!H31</f>
        <v>9900</v>
      </c>
      <c r="D67" s="771" t="s">
        <v>253</v>
      </c>
      <c r="E67" s="729">
        <f>SUM(H67:H71)</f>
        <v>9900</v>
      </c>
      <c r="F67" s="730"/>
      <c r="G67" s="549" t="s">
        <v>498</v>
      </c>
      <c r="H67" s="550">
        <f>4750*0.22</f>
        <v>1045</v>
      </c>
      <c r="I67" s="521" t="s">
        <v>289</v>
      </c>
    </row>
    <row r="68" spans="1:9" s="522" customFormat="1" ht="12.75" x14ac:dyDescent="0.2">
      <c r="A68" s="772"/>
      <c r="B68" s="753"/>
      <c r="C68" s="754"/>
      <c r="D68" s="771"/>
      <c r="E68" s="730"/>
      <c r="F68" s="730"/>
      <c r="G68" s="549" t="s">
        <v>499</v>
      </c>
      <c r="H68" s="550">
        <v>2288</v>
      </c>
      <c r="I68" s="521" t="s">
        <v>290</v>
      </c>
    </row>
    <row r="69" spans="1:9" s="522" customFormat="1" ht="29.45" customHeight="1" x14ac:dyDescent="0.2">
      <c r="A69" s="772"/>
      <c r="B69" s="753"/>
      <c r="C69" s="754"/>
      <c r="D69" s="771"/>
      <c r="E69" s="730"/>
      <c r="F69" s="730"/>
      <c r="G69" s="549" t="s">
        <v>497</v>
      </c>
      <c r="H69" s="550">
        <v>2288</v>
      </c>
      <c r="I69" s="521" t="s">
        <v>291</v>
      </c>
    </row>
    <row r="70" spans="1:9" s="522" customFormat="1" ht="12.75" x14ac:dyDescent="0.2">
      <c r="A70" s="772"/>
      <c r="B70" s="753"/>
      <c r="C70" s="754"/>
      <c r="D70" s="771"/>
      <c r="E70" s="730"/>
      <c r="F70" s="730"/>
      <c r="G70" s="549" t="s">
        <v>494</v>
      </c>
      <c r="H70" s="550">
        <v>2288</v>
      </c>
      <c r="I70" s="521" t="s">
        <v>292</v>
      </c>
    </row>
    <row r="71" spans="1:9" s="522" customFormat="1" ht="12.75" x14ac:dyDescent="0.2">
      <c r="A71" s="772"/>
      <c r="B71" s="753"/>
      <c r="C71" s="754"/>
      <c r="D71" s="771"/>
      <c r="E71" s="730"/>
      <c r="F71" s="730"/>
      <c r="G71" s="549" t="s">
        <v>495</v>
      </c>
      <c r="H71" s="550">
        <v>1991</v>
      </c>
      <c r="I71" s="521" t="s">
        <v>293</v>
      </c>
    </row>
    <row r="72" spans="1:9" s="546" customFormat="1" ht="25.9" customHeight="1" x14ac:dyDescent="0.2">
      <c r="A72" s="762" t="s">
        <v>295</v>
      </c>
      <c r="B72" s="763"/>
      <c r="C72" s="508">
        <f>SUM(C62:C67)</f>
        <v>20240</v>
      </c>
      <c r="D72" s="541"/>
      <c r="E72" s="551">
        <f>SUM(E62:E71)</f>
        <v>20240</v>
      </c>
      <c r="F72" s="543"/>
      <c r="G72" s="544"/>
      <c r="H72" s="551">
        <f>SUM(H62:H71)</f>
        <v>20240</v>
      </c>
      <c r="I72" s="552"/>
    </row>
    <row r="73" spans="1:9" s="522" customFormat="1" ht="12.75" x14ac:dyDescent="0.2">
      <c r="A73" s="523" t="s">
        <v>34</v>
      </c>
      <c r="B73" s="524" t="s">
        <v>7</v>
      </c>
      <c r="C73" s="525"/>
      <c r="D73" s="526"/>
      <c r="E73" s="527"/>
      <c r="F73" s="528"/>
      <c r="G73" s="529"/>
      <c r="H73" s="530"/>
      <c r="I73" s="531"/>
    </row>
    <row r="74" spans="1:9" s="522" customFormat="1" ht="60.6" customHeight="1" x14ac:dyDescent="0.2">
      <c r="A74" s="752" t="s">
        <v>44</v>
      </c>
      <c r="B74" s="753" t="s">
        <v>178</v>
      </c>
      <c r="C74" s="754">
        <f>[1]Кошторис_зкоригований!H51</f>
        <v>170000</v>
      </c>
      <c r="D74" s="771" t="s">
        <v>296</v>
      </c>
      <c r="E74" s="729">
        <f>C74</f>
        <v>170000</v>
      </c>
      <c r="F74" s="723" t="s">
        <v>461</v>
      </c>
      <c r="G74" s="759" t="s">
        <v>297</v>
      </c>
      <c r="H74" s="520">
        <v>17000</v>
      </c>
      <c r="I74" s="553" t="s">
        <v>298</v>
      </c>
    </row>
    <row r="75" spans="1:9" s="522" customFormat="1" ht="79.900000000000006" customHeight="1" x14ac:dyDescent="0.2">
      <c r="A75" s="752"/>
      <c r="B75" s="753"/>
      <c r="C75" s="754"/>
      <c r="D75" s="771"/>
      <c r="E75" s="729"/>
      <c r="F75" s="724"/>
      <c r="G75" s="759"/>
      <c r="H75" s="520">
        <v>30600</v>
      </c>
      <c r="I75" s="553" t="s">
        <v>299</v>
      </c>
    </row>
    <row r="76" spans="1:9" s="522" customFormat="1" ht="24.75" customHeight="1" x14ac:dyDescent="0.2">
      <c r="A76" s="752"/>
      <c r="B76" s="753"/>
      <c r="C76" s="754"/>
      <c r="D76" s="771"/>
      <c r="E76" s="520">
        <v>6600</v>
      </c>
      <c r="F76" s="725"/>
      <c r="G76" s="539" t="s">
        <v>300</v>
      </c>
      <c r="H76" s="520"/>
      <c r="I76" s="521"/>
    </row>
    <row r="77" spans="1:9" s="522" customFormat="1" ht="44.45" customHeight="1" x14ac:dyDescent="0.2">
      <c r="A77" s="523" t="s">
        <v>33</v>
      </c>
      <c r="B77" s="524" t="s">
        <v>41</v>
      </c>
      <c r="C77" s="525"/>
      <c r="D77" s="526"/>
      <c r="E77" s="527"/>
      <c r="F77" s="528"/>
      <c r="G77" s="529"/>
      <c r="H77" s="530"/>
      <c r="I77" s="531"/>
    </row>
    <row r="78" spans="1:9" s="522" customFormat="1" ht="126.6" customHeight="1" x14ac:dyDescent="0.2">
      <c r="A78" s="554" t="s">
        <v>44</v>
      </c>
      <c r="B78" s="533" t="s">
        <v>301</v>
      </c>
      <c r="C78" s="534">
        <f>[1]Кошторис_зкоригований!H53</f>
        <v>45000</v>
      </c>
      <c r="D78" s="555" t="s">
        <v>302</v>
      </c>
      <c r="E78" s="520">
        <f>C78</f>
        <v>45000</v>
      </c>
      <c r="F78" s="538" t="s">
        <v>303</v>
      </c>
      <c r="G78" s="539" t="s">
        <v>304</v>
      </c>
      <c r="H78" s="520">
        <v>45000</v>
      </c>
      <c r="I78" s="553" t="s">
        <v>305</v>
      </c>
    </row>
    <row r="79" spans="1:9" s="546" customFormat="1" ht="27" customHeight="1" x14ac:dyDescent="0.2">
      <c r="A79" s="762" t="s">
        <v>118</v>
      </c>
      <c r="B79" s="763"/>
      <c r="C79" s="508">
        <f>C74+C78</f>
        <v>215000</v>
      </c>
      <c r="D79" s="556"/>
      <c r="E79" s="551">
        <f>E74+E78+E76</f>
        <v>221600</v>
      </c>
      <c r="F79" s="543"/>
      <c r="G79" s="544"/>
      <c r="H79" s="551">
        <f>SUM(H74:H78)</f>
        <v>92600</v>
      </c>
      <c r="I79" s="545"/>
    </row>
    <row r="80" spans="1:9" s="522" customFormat="1" ht="28.15" customHeight="1" x14ac:dyDescent="0.2">
      <c r="A80" s="523" t="s">
        <v>48</v>
      </c>
      <c r="B80" s="524" t="s">
        <v>36</v>
      </c>
      <c r="C80" s="525"/>
      <c r="D80" s="526"/>
      <c r="E80" s="527"/>
      <c r="F80" s="528"/>
      <c r="G80" s="529"/>
      <c r="H80" s="530"/>
      <c r="I80" s="531"/>
    </row>
    <row r="81" spans="1:9" s="522" customFormat="1" ht="39" customHeight="1" x14ac:dyDescent="0.2">
      <c r="A81" s="764" t="s">
        <v>44</v>
      </c>
      <c r="B81" s="714" t="s">
        <v>180</v>
      </c>
      <c r="C81" s="717">
        <f>[1]Кошторис_зкоригований!H66</f>
        <v>60000</v>
      </c>
      <c r="D81" s="755" t="s">
        <v>306</v>
      </c>
      <c r="E81" s="729">
        <f>C81-E83-E85</f>
        <v>24300</v>
      </c>
      <c r="F81" s="723" t="s">
        <v>462</v>
      </c>
      <c r="G81" s="731" t="s">
        <v>307</v>
      </c>
      <c r="H81" s="520">
        <f>[1]Контрагенти!K16</f>
        <v>20100</v>
      </c>
      <c r="I81" s="553" t="s">
        <v>308</v>
      </c>
    </row>
    <row r="82" spans="1:9" s="522" customFormat="1" ht="116.45" customHeight="1" x14ac:dyDescent="0.2">
      <c r="A82" s="765"/>
      <c r="B82" s="715"/>
      <c r="C82" s="718"/>
      <c r="D82" s="755"/>
      <c r="E82" s="729"/>
      <c r="F82" s="725"/>
      <c r="G82" s="731"/>
      <c r="H82" s="520">
        <v>4200</v>
      </c>
      <c r="I82" s="553" t="s">
        <v>309</v>
      </c>
    </row>
    <row r="83" spans="1:9" s="522" customFormat="1" ht="52.15" customHeight="1" x14ac:dyDescent="0.2">
      <c r="A83" s="765"/>
      <c r="B83" s="715"/>
      <c r="C83" s="718"/>
      <c r="D83" s="720" t="s">
        <v>310</v>
      </c>
      <c r="E83" s="729">
        <f>[1]Контрагенти!I18-800</f>
        <v>34900</v>
      </c>
      <c r="F83" s="723" t="s">
        <v>463</v>
      </c>
      <c r="G83" s="731" t="s">
        <v>311</v>
      </c>
      <c r="H83" s="520">
        <v>10470</v>
      </c>
      <c r="I83" s="521" t="s">
        <v>312</v>
      </c>
    </row>
    <row r="84" spans="1:9" s="522" customFormat="1" ht="63" customHeight="1" x14ac:dyDescent="0.2">
      <c r="A84" s="765"/>
      <c r="B84" s="715"/>
      <c r="C84" s="718"/>
      <c r="D84" s="721"/>
      <c r="E84" s="729"/>
      <c r="F84" s="724"/>
      <c r="G84" s="731"/>
      <c r="H84" s="520">
        <v>24430</v>
      </c>
      <c r="I84" s="557" t="s">
        <v>313</v>
      </c>
    </row>
    <row r="85" spans="1:9" s="522" customFormat="1" ht="120.75" customHeight="1" x14ac:dyDescent="0.2">
      <c r="A85" s="765"/>
      <c r="B85" s="715"/>
      <c r="C85" s="718"/>
      <c r="D85" s="721"/>
      <c r="E85" s="520">
        <v>800</v>
      </c>
      <c r="F85" s="725"/>
      <c r="G85" s="558" t="s">
        <v>314</v>
      </c>
      <c r="H85" s="520">
        <v>800</v>
      </c>
      <c r="I85" s="521" t="s">
        <v>315</v>
      </c>
    </row>
    <row r="86" spans="1:9" s="522" customFormat="1" ht="64.5" customHeight="1" x14ac:dyDescent="0.2">
      <c r="A86" s="766"/>
      <c r="B86" s="716"/>
      <c r="C86" s="719"/>
      <c r="D86" s="722"/>
      <c r="E86" s="520"/>
      <c r="F86" s="559"/>
      <c r="G86" s="558" t="s">
        <v>316</v>
      </c>
      <c r="H86" s="520"/>
      <c r="I86" s="521"/>
    </row>
    <row r="87" spans="1:9" s="546" customFormat="1" ht="26.45" customHeight="1" x14ac:dyDescent="0.2">
      <c r="A87" s="762" t="s">
        <v>121</v>
      </c>
      <c r="B87" s="763"/>
      <c r="C87" s="508">
        <f>C81</f>
        <v>60000</v>
      </c>
      <c r="D87" s="556"/>
      <c r="E87" s="551">
        <f>SUM(E81:E85)</f>
        <v>60000</v>
      </c>
      <c r="F87" s="543"/>
      <c r="G87" s="544"/>
      <c r="H87" s="551">
        <f>SUM(H81:H85)</f>
        <v>60000</v>
      </c>
      <c r="I87" s="552"/>
    </row>
    <row r="88" spans="1:9" s="522" customFormat="1" ht="28.15" customHeight="1" x14ac:dyDescent="0.2">
      <c r="A88" s="523" t="s">
        <v>49</v>
      </c>
      <c r="B88" s="524" t="s">
        <v>16</v>
      </c>
      <c r="C88" s="525"/>
      <c r="D88" s="526"/>
      <c r="E88" s="527"/>
      <c r="F88" s="528"/>
      <c r="G88" s="529"/>
      <c r="H88" s="530"/>
      <c r="I88" s="531"/>
    </row>
    <row r="89" spans="1:9" s="522" customFormat="1" ht="127.9" customHeight="1" x14ac:dyDescent="0.2">
      <c r="A89" s="554" t="s">
        <v>44</v>
      </c>
      <c r="B89" s="533" t="s">
        <v>181</v>
      </c>
      <c r="C89" s="534">
        <f>[1]Кошторис_зкоригований!H74</f>
        <v>13000</v>
      </c>
      <c r="D89" s="555" t="s">
        <v>317</v>
      </c>
      <c r="E89" s="520">
        <f>C89</f>
        <v>13000</v>
      </c>
      <c r="F89" s="538" t="s">
        <v>464</v>
      </c>
      <c r="G89" s="558" t="s">
        <v>318</v>
      </c>
      <c r="H89" s="520">
        <v>13000</v>
      </c>
      <c r="I89" s="521" t="s">
        <v>319</v>
      </c>
    </row>
    <row r="90" spans="1:9" s="546" customFormat="1" ht="25.9" customHeight="1" x14ac:dyDescent="0.2">
      <c r="A90" s="762" t="s">
        <v>320</v>
      </c>
      <c r="B90" s="763"/>
      <c r="C90" s="508">
        <f>C89</f>
        <v>13000</v>
      </c>
      <c r="D90" s="556"/>
      <c r="E90" s="551">
        <f>E89</f>
        <v>13000</v>
      </c>
      <c r="F90" s="543"/>
      <c r="G90" s="544"/>
      <c r="H90" s="551">
        <f>H89</f>
        <v>13000</v>
      </c>
      <c r="I90" s="552"/>
    </row>
    <row r="91" spans="1:9" s="522" customFormat="1" ht="16.149999999999999" customHeight="1" x14ac:dyDescent="0.2">
      <c r="A91" s="523" t="s">
        <v>123</v>
      </c>
      <c r="B91" s="524" t="s">
        <v>63</v>
      </c>
      <c r="C91" s="525"/>
      <c r="D91" s="526"/>
      <c r="E91" s="527"/>
      <c r="F91" s="528"/>
      <c r="G91" s="529"/>
      <c r="H91" s="530"/>
      <c r="I91" s="531"/>
    </row>
    <row r="92" spans="1:9" s="513" customFormat="1" ht="24" customHeight="1" x14ac:dyDescent="0.2">
      <c r="A92" s="736" t="s">
        <v>44</v>
      </c>
      <c r="B92" s="737" t="s">
        <v>182</v>
      </c>
      <c r="C92" s="738">
        <f>[1]Кошторис_зкоригований!H77</f>
        <v>141825</v>
      </c>
      <c r="D92" s="739" t="s">
        <v>321</v>
      </c>
      <c r="E92" s="741">
        <f>C92</f>
        <v>141825</v>
      </c>
      <c r="F92" s="742" t="s">
        <v>465</v>
      </c>
      <c r="G92" s="759" t="s">
        <v>466</v>
      </c>
      <c r="H92" s="560">
        <v>5000</v>
      </c>
      <c r="I92" s="561" t="s">
        <v>322</v>
      </c>
    </row>
    <row r="93" spans="1:9" s="513" customFormat="1" ht="24" customHeight="1" x14ac:dyDescent="0.2">
      <c r="A93" s="736"/>
      <c r="B93" s="737"/>
      <c r="C93" s="738"/>
      <c r="D93" s="761"/>
      <c r="E93" s="741"/>
      <c r="F93" s="742"/>
      <c r="G93" s="760"/>
      <c r="H93" s="560">
        <v>5000</v>
      </c>
      <c r="I93" s="561" t="s">
        <v>323</v>
      </c>
    </row>
    <row r="94" spans="1:9" s="513" customFormat="1" ht="24" customHeight="1" x14ac:dyDescent="0.2">
      <c r="A94" s="736"/>
      <c r="B94" s="737"/>
      <c r="C94" s="738"/>
      <c r="D94" s="761"/>
      <c r="E94" s="741"/>
      <c r="F94" s="742"/>
      <c r="G94" s="760"/>
      <c r="H94" s="560">
        <v>5000</v>
      </c>
      <c r="I94" s="561" t="s">
        <v>324</v>
      </c>
    </row>
    <row r="95" spans="1:9" s="513" customFormat="1" ht="24" customHeight="1" x14ac:dyDescent="0.2">
      <c r="A95" s="736"/>
      <c r="B95" s="737"/>
      <c r="C95" s="738"/>
      <c r="D95" s="761"/>
      <c r="E95" s="741"/>
      <c r="F95" s="742"/>
      <c r="G95" s="760"/>
      <c r="H95" s="560">
        <v>25596</v>
      </c>
      <c r="I95" s="561" t="s">
        <v>290</v>
      </c>
    </row>
    <row r="96" spans="1:9" s="513" customFormat="1" ht="24" customHeight="1" x14ac:dyDescent="0.2">
      <c r="A96" s="736"/>
      <c r="B96" s="737"/>
      <c r="C96" s="738"/>
      <c r="D96" s="761"/>
      <c r="E96" s="741"/>
      <c r="F96" s="742"/>
      <c r="G96" s="760"/>
      <c r="H96" s="560">
        <v>25263</v>
      </c>
      <c r="I96" s="561" t="s">
        <v>325</v>
      </c>
    </row>
    <row r="97" spans="1:9" s="513" customFormat="1" ht="24" customHeight="1" x14ac:dyDescent="0.2">
      <c r="A97" s="736"/>
      <c r="B97" s="737"/>
      <c r="C97" s="738"/>
      <c r="D97" s="740"/>
      <c r="E97" s="741"/>
      <c r="F97" s="742"/>
      <c r="G97" s="760"/>
      <c r="H97" s="560">
        <v>48500</v>
      </c>
      <c r="I97" s="561" t="s">
        <v>326</v>
      </c>
    </row>
    <row r="98" spans="1:9" s="522" customFormat="1" ht="52.9" customHeight="1" x14ac:dyDescent="0.2">
      <c r="A98" s="736" t="s">
        <v>45</v>
      </c>
      <c r="B98" s="737" t="s">
        <v>183</v>
      </c>
      <c r="C98" s="738">
        <f>[1]Кошторис_зкоригований!H78</f>
        <v>46000</v>
      </c>
      <c r="D98" s="562" t="s">
        <v>327</v>
      </c>
      <c r="E98" s="520">
        <f>H98</f>
        <v>19000</v>
      </c>
      <c r="F98" s="655" t="s">
        <v>467</v>
      </c>
      <c r="G98" s="558" t="s">
        <v>328</v>
      </c>
      <c r="H98" s="520">
        <v>19000</v>
      </c>
      <c r="I98" s="521" t="s">
        <v>329</v>
      </c>
    </row>
    <row r="99" spans="1:9" s="522" customFormat="1" ht="57.6" customHeight="1" x14ac:dyDescent="0.2">
      <c r="A99" s="736"/>
      <c r="B99" s="737"/>
      <c r="C99" s="738"/>
      <c r="D99" s="562" t="s">
        <v>330</v>
      </c>
      <c r="E99" s="520">
        <v>12000</v>
      </c>
      <c r="F99" s="538" t="s">
        <v>331</v>
      </c>
      <c r="G99" s="558" t="s">
        <v>332</v>
      </c>
      <c r="H99" s="520">
        <v>12000</v>
      </c>
      <c r="I99" s="521" t="s">
        <v>333</v>
      </c>
    </row>
    <row r="100" spans="1:9" s="513" customFormat="1" ht="102" x14ac:dyDescent="0.2">
      <c r="A100" s="736"/>
      <c r="B100" s="737"/>
      <c r="C100" s="738"/>
      <c r="D100" s="563" t="s">
        <v>334</v>
      </c>
      <c r="E100" s="560">
        <v>10350</v>
      </c>
      <c r="F100" s="564" t="s">
        <v>335</v>
      </c>
      <c r="G100" s="558" t="s">
        <v>336</v>
      </c>
      <c r="H100" s="560">
        <f>E100</f>
        <v>10350</v>
      </c>
      <c r="I100" s="561" t="s">
        <v>337</v>
      </c>
    </row>
    <row r="101" spans="1:9" s="522" customFormat="1" ht="114.6" customHeight="1" x14ac:dyDescent="0.2">
      <c r="A101" s="565" t="s">
        <v>46</v>
      </c>
      <c r="B101" s="533" t="s">
        <v>186</v>
      </c>
      <c r="C101" s="534">
        <f>[1]Кошторис_зкоригований!H79</f>
        <v>5600</v>
      </c>
      <c r="D101" s="555" t="s">
        <v>338</v>
      </c>
      <c r="E101" s="520">
        <f>C101</f>
        <v>5600</v>
      </c>
      <c r="F101" s="538" t="s">
        <v>339</v>
      </c>
      <c r="G101" s="558" t="s">
        <v>340</v>
      </c>
      <c r="H101" s="520"/>
      <c r="I101" s="521"/>
    </row>
    <row r="102" spans="1:9" s="522" customFormat="1" ht="141.6" customHeight="1" x14ac:dyDescent="0.2">
      <c r="A102" s="565" t="s">
        <v>50</v>
      </c>
      <c r="B102" s="533" t="s">
        <v>187</v>
      </c>
      <c r="C102" s="534">
        <f>[1]Кошторис_зкоригований!H80</f>
        <v>8000</v>
      </c>
      <c r="D102" s="555" t="s">
        <v>302</v>
      </c>
      <c r="E102" s="520">
        <v>8000</v>
      </c>
      <c r="F102" s="538" t="s">
        <v>341</v>
      </c>
      <c r="G102" s="558" t="s">
        <v>342</v>
      </c>
      <c r="H102" s="520">
        <v>8000</v>
      </c>
      <c r="I102" s="521" t="s">
        <v>343</v>
      </c>
    </row>
    <row r="103" spans="1:9" s="522" customFormat="1" ht="39.6" customHeight="1" x14ac:dyDescent="0.2">
      <c r="A103" s="711" t="s">
        <v>51</v>
      </c>
      <c r="B103" s="753" t="s">
        <v>188</v>
      </c>
      <c r="C103" s="754">
        <f>[1]Кошторис_зкоригований!H81</f>
        <v>1620</v>
      </c>
      <c r="D103" s="755" t="s">
        <v>231</v>
      </c>
      <c r="E103" s="729">
        <v>830.48</v>
      </c>
      <c r="F103" s="756" t="s">
        <v>344</v>
      </c>
      <c r="G103" s="539" t="s">
        <v>345</v>
      </c>
      <c r="H103" s="520">
        <v>835.48</v>
      </c>
      <c r="I103" s="521" t="s">
        <v>346</v>
      </c>
    </row>
    <row r="104" spans="1:9" s="522" customFormat="1" ht="12.75" x14ac:dyDescent="0.2">
      <c r="A104" s="712"/>
      <c r="B104" s="753"/>
      <c r="C104" s="754"/>
      <c r="D104" s="755"/>
      <c r="E104" s="729"/>
      <c r="F104" s="756"/>
      <c r="G104" s="566" t="s">
        <v>347</v>
      </c>
      <c r="H104" s="520">
        <v>-5</v>
      </c>
      <c r="I104" s="521" t="s">
        <v>348</v>
      </c>
    </row>
    <row r="105" spans="1:9" s="522" customFormat="1" ht="38.25" x14ac:dyDescent="0.2">
      <c r="A105" s="713"/>
      <c r="B105" s="753"/>
      <c r="C105" s="754"/>
      <c r="D105" s="755"/>
      <c r="E105" s="520">
        <f>1053.57-626.5</f>
        <v>427.06999999999994</v>
      </c>
      <c r="F105" s="756"/>
      <c r="G105" s="539" t="s">
        <v>349</v>
      </c>
      <c r="H105" s="520">
        <v>427.07</v>
      </c>
      <c r="I105" s="521" t="s">
        <v>350</v>
      </c>
    </row>
    <row r="106" spans="1:9" s="522" customFormat="1" ht="70.900000000000006" customHeight="1" x14ac:dyDescent="0.2">
      <c r="A106" s="653" t="s">
        <v>52</v>
      </c>
      <c r="B106" s="533" t="s">
        <v>189</v>
      </c>
      <c r="C106" s="553">
        <f>[1]Кошторис_зкоригований!H82</f>
        <v>3000</v>
      </c>
      <c r="D106" s="567" t="s">
        <v>231</v>
      </c>
      <c r="E106" s="520">
        <v>626.5</v>
      </c>
      <c r="F106" s="538" t="s">
        <v>344</v>
      </c>
      <c r="G106" s="539" t="s">
        <v>349</v>
      </c>
      <c r="H106" s="520">
        <v>626.5</v>
      </c>
      <c r="I106" s="521" t="s">
        <v>350</v>
      </c>
    </row>
    <row r="107" spans="1:9" s="546" customFormat="1" ht="27" customHeight="1" x14ac:dyDescent="0.2">
      <c r="A107" s="734" t="s">
        <v>351</v>
      </c>
      <c r="B107" s="735"/>
      <c r="C107" s="508">
        <f>SUM(C92:C106)</f>
        <v>206045</v>
      </c>
      <c r="D107" s="556"/>
      <c r="E107" s="551">
        <f>SUM(E92:E106)</f>
        <v>198659.05000000002</v>
      </c>
      <c r="F107" s="543"/>
      <c r="G107" s="544"/>
      <c r="H107" s="551">
        <f>SUM(H92:H106)</f>
        <v>165593.05000000002</v>
      </c>
      <c r="I107" s="552"/>
    </row>
    <row r="108" spans="1:9" s="522" customFormat="1" ht="16.149999999999999" customHeight="1" x14ac:dyDescent="0.2">
      <c r="A108" s="523" t="s">
        <v>60</v>
      </c>
      <c r="B108" s="524" t="s">
        <v>65</v>
      </c>
      <c r="C108" s="525"/>
      <c r="D108" s="526"/>
      <c r="E108" s="527"/>
      <c r="F108" s="528"/>
      <c r="G108" s="529"/>
      <c r="H108" s="530"/>
      <c r="I108" s="531"/>
    </row>
    <row r="109" spans="1:9" s="522" customFormat="1" ht="173.45" customHeight="1" x14ac:dyDescent="0.2">
      <c r="A109" s="568" t="s">
        <v>44</v>
      </c>
      <c r="B109" s="533" t="s">
        <v>190</v>
      </c>
      <c r="C109" s="534">
        <f>[1]Кошторис_зкоригований!H85</f>
        <v>50000</v>
      </c>
      <c r="D109" s="555" t="s">
        <v>352</v>
      </c>
      <c r="E109" s="520">
        <f>C109</f>
        <v>50000</v>
      </c>
      <c r="F109" s="538" t="s">
        <v>468</v>
      </c>
      <c r="G109" s="558" t="s">
        <v>469</v>
      </c>
      <c r="H109" s="520"/>
      <c r="I109" s="521"/>
    </row>
    <row r="110" spans="1:9" s="546" customFormat="1" ht="30.6" customHeight="1" x14ac:dyDescent="0.2">
      <c r="A110" s="734" t="s">
        <v>125</v>
      </c>
      <c r="B110" s="735"/>
      <c r="C110" s="508">
        <f>C109</f>
        <v>50000</v>
      </c>
      <c r="D110" s="556"/>
      <c r="E110" s="551">
        <f>E109</f>
        <v>50000</v>
      </c>
      <c r="F110" s="543"/>
      <c r="G110" s="544"/>
      <c r="H110" s="551">
        <f>H109</f>
        <v>0</v>
      </c>
      <c r="I110" s="552"/>
    </row>
    <row r="111" spans="1:9" s="522" customFormat="1" ht="16.149999999999999" customHeight="1" x14ac:dyDescent="0.2">
      <c r="A111" s="523" t="s">
        <v>61</v>
      </c>
      <c r="B111" s="524" t="s">
        <v>10</v>
      </c>
      <c r="C111" s="525"/>
      <c r="D111" s="526"/>
      <c r="E111" s="527"/>
      <c r="F111" s="528"/>
      <c r="G111" s="529"/>
      <c r="H111" s="530"/>
      <c r="I111" s="531"/>
    </row>
    <row r="112" spans="1:9" s="522" customFormat="1" ht="97.9" customHeight="1" x14ac:dyDescent="0.2">
      <c r="A112" s="568" t="s">
        <v>44</v>
      </c>
      <c r="B112" s="533" t="s">
        <v>191</v>
      </c>
      <c r="C112" s="534">
        <f>[1]Кошторис_зкоригований!H91</f>
        <v>3000</v>
      </c>
      <c r="D112" s="555" t="s">
        <v>354</v>
      </c>
      <c r="E112" s="520">
        <f>C112</f>
        <v>3000</v>
      </c>
      <c r="F112" s="538" t="s">
        <v>355</v>
      </c>
      <c r="G112" s="539" t="s">
        <v>356</v>
      </c>
      <c r="H112" s="520">
        <v>3000</v>
      </c>
      <c r="I112" s="521" t="s">
        <v>357</v>
      </c>
    </row>
    <row r="113" spans="1:9" s="522" customFormat="1" ht="85.9" customHeight="1" x14ac:dyDescent="0.2">
      <c r="A113" s="568" t="s">
        <v>45</v>
      </c>
      <c r="B113" s="533" t="s">
        <v>192</v>
      </c>
      <c r="C113" s="534">
        <f>[1]Кошторис_зкоригований!H92</f>
        <v>7500</v>
      </c>
      <c r="D113" s="555" t="s">
        <v>354</v>
      </c>
      <c r="E113" s="520">
        <f>C113</f>
        <v>7500</v>
      </c>
      <c r="F113" s="538" t="s">
        <v>355</v>
      </c>
      <c r="G113" s="539" t="s">
        <v>356</v>
      </c>
      <c r="H113" s="520">
        <v>7500</v>
      </c>
      <c r="I113" s="521" t="s">
        <v>357</v>
      </c>
    </row>
    <row r="114" spans="1:9" s="522" customFormat="1" ht="124.15" customHeight="1" x14ac:dyDescent="0.2">
      <c r="A114" s="568" t="s">
        <v>46</v>
      </c>
      <c r="B114" s="533" t="s">
        <v>193</v>
      </c>
      <c r="C114" s="534">
        <f>[1]Кошторис_зкоригований!H93</f>
        <v>9000</v>
      </c>
      <c r="D114" s="555" t="s">
        <v>354</v>
      </c>
      <c r="E114" s="520">
        <f>C114</f>
        <v>9000</v>
      </c>
      <c r="F114" s="538" t="s">
        <v>355</v>
      </c>
      <c r="G114" s="539" t="s">
        <v>356</v>
      </c>
      <c r="H114" s="520">
        <v>9000</v>
      </c>
      <c r="I114" s="521" t="s">
        <v>357</v>
      </c>
    </row>
    <row r="115" spans="1:9" s="522" customFormat="1" ht="35.25" customHeight="1" x14ac:dyDescent="0.2">
      <c r="A115" s="711" t="s">
        <v>50</v>
      </c>
      <c r="B115" s="714" t="s">
        <v>194</v>
      </c>
      <c r="C115" s="717">
        <f>[1]Кошторис_зкоригований!H94</f>
        <v>15300</v>
      </c>
      <c r="D115" s="720" t="s">
        <v>358</v>
      </c>
      <c r="E115" s="729">
        <v>2154</v>
      </c>
      <c r="F115" s="723" t="s">
        <v>359</v>
      </c>
      <c r="G115" s="733" t="s">
        <v>504</v>
      </c>
      <c r="H115" s="729">
        <v>2154</v>
      </c>
      <c r="I115" s="730" t="s">
        <v>360</v>
      </c>
    </row>
    <row r="116" spans="1:9" s="522" customFormat="1" ht="8.25" hidden="1" customHeight="1" x14ac:dyDescent="0.2">
      <c r="A116" s="712"/>
      <c r="B116" s="715"/>
      <c r="C116" s="718"/>
      <c r="D116" s="721"/>
      <c r="E116" s="729"/>
      <c r="F116" s="724"/>
      <c r="G116" s="733"/>
      <c r="H116" s="729"/>
      <c r="I116" s="730"/>
    </row>
    <row r="117" spans="1:9" s="522" customFormat="1" ht="7.5" hidden="1" customHeight="1" x14ac:dyDescent="0.2">
      <c r="A117" s="712"/>
      <c r="B117" s="715"/>
      <c r="C117" s="718"/>
      <c r="D117" s="721"/>
      <c r="E117" s="729"/>
      <c r="F117" s="724"/>
      <c r="G117" s="733"/>
      <c r="H117" s="729"/>
      <c r="I117" s="730"/>
    </row>
    <row r="118" spans="1:9" s="522" customFormat="1" ht="12.75" hidden="1" customHeight="1" x14ac:dyDescent="0.2">
      <c r="A118" s="712"/>
      <c r="B118" s="715"/>
      <c r="C118" s="718"/>
      <c r="D118" s="721"/>
      <c r="E118" s="729"/>
      <c r="F118" s="724"/>
      <c r="G118" s="733"/>
      <c r="H118" s="729"/>
      <c r="I118" s="730"/>
    </row>
    <row r="119" spans="1:9" s="522" customFormat="1" ht="15" x14ac:dyDescent="0.2">
      <c r="A119" s="712"/>
      <c r="B119" s="715"/>
      <c r="C119" s="718"/>
      <c r="D119" s="721"/>
      <c r="E119" s="652">
        <v>686.32</v>
      </c>
      <c r="F119" s="724"/>
      <c r="G119" s="656" t="s">
        <v>505</v>
      </c>
      <c r="H119" s="654">
        <v>686.32</v>
      </c>
      <c r="I119" s="660" t="s">
        <v>361</v>
      </c>
    </row>
    <row r="120" spans="1:9" s="522" customFormat="1" ht="15" x14ac:dyDescent="0.2">
      <c r="A120" s="712"/>
      <c r="B120" s="715"/>
      <c r="C120" s="718"/>
      <c r="D120" s="721"/>
      <c r="E120" s="652">
        <v>361.63</v>
      </c>
      <c r="F120" s="724"/>
      <c r="G120" s="656" t="s">
        <v>506</v>
      </c>
      <c r="H120" s="520">
        <v>361.63</v>
      </c>
      <c r="I120" s="521" t="s">
        <v>362</v>
      </c>
    </row>
    <row r="121" spans="1:9" s="522" customFormat="1" ht="15" x14ac:dyDescent="0.25">
      <c r="A121" s="713"/>
      <c r="B121" s="716"/>
      <c r="C121" s="719"/>
      <c r="D121" s="722"/>
      <c r="E121" s="652">
        <v>12098.05</v>
      </c>
      <c r="F121" s="725"/>
      <c r="G121" s="657" t="s">
        <v>507</v>
      </c>
      <c r="H121" s="520">
        <v>12098.05</v>
      </c>
      <c r="I121" s="521" t="s">
        <v>363</v>
      </c>
    </row>
    <row r="122" spans="1:9" s="546" customFormat="1" ht="28.15" customHeight="1" x14ac:dyDescent="0.2">
      <c r="A122" s="734" t="s">
        <v>126</v>
      </c>
      <c r="B122" s="735"/>
      <c r="C122" s="508">
        <f>SUM(C112:C115)</f>
        <v>34800</v>
      </c>
      <c r="D122" s="556"/>
      <c r="E122" s="551">
        <f>SUM(E112:E121)</f>
        <v>34800</v>
      </c>
      <c r="F122" s="543"/>
      <c r="G122" s="544"/>
      <c r="H122" s="551">
        <f>SUM(H112:H121)</f>
        <v>34800</v>
      </c>
      <c r="I122" s="552"/>
    </row>
    <row r="123" spans="1:9" s="522" customFormat="1" ht="28.9" customHeight="1" x14ac:dyDescent="0.2">
      <c r="A123" s="523" t="s">
        <v>56</v>
      </c>
      <c r="B123" s="524" t="s">
        <v>40</v>
      </c>
      <c r="C123" s="525"/>
      <c r="D123" s="526"/>
      <c r="E123" s="527"/>
      <c r="F123" s="528"/>
      <c r="G123" s="529"/>
      <c r="H123" s="530"/>
      <c r="I123" s="531"/>
    </row>
    <row r="124" spans="1:9" s="513" customFormat="1" ht="43.9" customHeight="1" x14ac:dyDescent="0.2">
      <c r="A124" s="736" t="s">
        <v>44</v>
      </c>
      <c r="B124" s="737" t="s">
        <v>195</v>
      </c>
      <c r="C124" s="738">
        <f>[1]Кошторис_зкоригований!H97</f>
        <v>50820</v>
      </c>
      <c r="D124" s="739" t="s">
        <v>364</v>
      </c>
      <c r="E124" s="741">
        <f>C124</f>
        <v>50820</v>
      </c>
      <c r="F124" s="742" t="s">
        <v>365</v>
      </c>
      <c r="G124" s="731" t="s">
        <v>366</v>
      </c>
      <c r="H124" s="560">
        <v>15000</v>
      </c>
      <c r="I124" s="561" t="s">
        <v>367</v>
      </c>
    </row>
    <row r="125" spans="1:9" s="513" customFormat="1" ht="102" customHeight="1" x14ac:dyDescent="0.2">
      <c r="A125" s="736"/>
      <c r="B125" s="737"/>
      <c r="C125" s="738"/>
      <c r="D125" s="740"/>
      <c r="E125" s="741"/>
      <c r="F125" s="742"/>
      <c r="G125" s="732"/>
      <c r="H125" s="560">
        <v>35820</v>
      </c>
      <c r="I125" s="521" t="s">
        <v>368</v>
      </c>
    </row>
    <row r="126" spans="1:9" s="522" customFormat="1" ht="21.75" customHeight="1" x14ac:dyDescent="0.2">
      <c r="A126" s="711" t="s">
        <v>45</v>
      </c>
      <c r="B126" s="714" t="s">
        <v>196</v>
      </c>
      <c r="C126" s="717">
        <f>[1]Кошторис_зкоригований!H98</f>
        <v>44000</v>
      </c>
      <c r="D126" s="720" t="s">
        <v>369</v>
      </c>
      <c r="E126" s="520">
        <v>8800</v>
      </c>
      <c r="F126" s="723" t="s">
        <v>470</v>
      </c>
      <c r="G126" s="558" t="s">
        <v>487</v>
      </c>
      <c r="H126" s="708">
        <v>44000</v>
      </c>
      <c r="I126" s="726" t="s">
        <v>370</v>
      </c>
    </row>
    <row r="127" spans="1:9" s="522" customFormat="1" ht="12.75" x14ac:dyDescent="0.2">
      <c r="A127" s="712"/>
      <c r="B127" s="715"/>
      <c r="C127" s="718"/>
      <c r="D127" s="721"/>
      <c r="E127" s="652">
        <v>8800</v>
      </c>
      <c r="F127" s="724"/>
      <c r="G127" s="651" t="s">
        <v>483</v>
      </c>
      <c r="H127" s="709"/>
      <c r="I127" s="727"/>
    </row>
    <row r="128" spans="1:9" s="522" customFormat="1" ht="12.75" x14ac:dyDescent="0.2">
      <c r="A128" s="712"/>
      <c r="B128" s="715"/>
      <c r="C128" s="718"/>
      <c r="D128" s="721"/>
      <c r="E128" s="652">
        <v>8800</v>
      </c>
      <c r="F128" s="724"/>
      <c r="G128" s="651" t="s">
        <v>484</v>
      </c>
      <c r="H128" s="709"/>
      <c r="I128" s="727"/>
    </row>
    <row r="129" spans="1:10" s="522" customFormat="1" ht="12.75" x14ac:dyDescent="0.2">
      <c r="A129" s="712"/>
      <c r="B129" s="715"/>
      <c r="C129" s="718"/>
      <c r="D129" s="721"/>
      <c r="E129" s="652">
        <v>8800</v>
      </c>
      <c r="F129" s="724"/>
      <c r="G129" s="651" t="s">
        <v>485</v>
      </c>
      <c r="H129" s="709"/>
      <c r="I129" s="727"/>
    </row>
    <row r="130" spans="1:10" s="522" customFormat="1" ht="12.75" x14ac:dyDescent="0.2">
      <c r="A130" s="712"/>
      <c r="B130" s="715"/>
      <c r="C130" s="718"/>
      <c r="D130" s="721"/>
      <c r="E130" s="652">
        <v>8800</v>
      </c>
      <c r="F130" s="724"/>
      <c r="G130" s="651" t="s">
        <v>486</v>
      </c>
      <c r="H130" s="709"/>
      <c r="I130" s="727"/>
    </row>
    <row r="131" spans="1:10" s="522" customFormat="1" ht="51" x14ac:dyDescent="0.2">
      <c r="A131" s="713"/>
      <c r="B131" s="716"/>
      <c r="C131" s="719"/>
      <c r="D131" s="722"/>
      <c r="E131" s="652"/>
      <c r="F131" s="725"/>
      <c r="G131" s="651" t="s">
        <v>488</v>
      </c>
      <c r="H131" s="710"/>
      <c r="I131" s="728"/>
    </row>
    <row r="132" spans="1:10" s="522" customFormat="1" ht="29.45" customHeight="1" x14ac:dyDescent="0.2">
      <c r="A132" s="757" t="s">
        <v>46</v>
      </c>
      <c r="B132" s="753" t="s">
        <v>197</v>
      </c>
      <c r="C132" s="754">
        <f>[1]Кошторис_зкоригований!H99</f>
        <v>30000</v>
      </c>
      <c r="D132" s="758" t="s">
        <v>371</v>
      </c>
      <c r="E132" s="520">
        <v>6050</v>
      </c>
      <c r="F132" s="756" t="s">
        <v>372</v>
      </c>
      <c r="G132" s="539" t="s">
        <v>373</v>
      </c>
      <c r="H132" s="729">
        <v>29975</v>
      </c>
      <c r="I132" s="751" t="s">
        <v>374</v>
      </c>
    </row>
    <row r="133" spans="1:10" s="522" customFormat="1" ht="30" customHeight="1" x14ac:dyDescent="0.2">
      <c r="A133" s="757"/>
      <c r="B133" s="753"/>
      <c r="C133" s="754"/>
      <c r="D133" s="758"/>
      <c r="E133" s="520">
        <v>11550</v>
      </c>
      <c r="F133" s="756"/>
      <c r="G133" s="539" t="s">
        <v>375</v>
      </c>
      <c r="H133" s="729"/>
      <c r="I133" s="751"/>
    </row>
    <row r="134" spans="1:10" s="522" customFormat="1" ht="29.45" customHeight="1" x14ac:dyDescent="0.2">
      <c r="A134" s="757"/>
      <c r="B134" s="753"/>
      <c r="C134" s="754"/>
      <c r="D134" s="758"/>
      <c r="E134" s="520">
        <v>2475</v>
      </c>
      <c r="F134" s="756"/>
      <c r="G134" s="539" t="s">
        <v>376</v>
      </c>
      <c r="H134" s="729"/>
      <c r="I134" s="751"/>
    </row>
    <row r="135" spans="1:10" s="522" customFormat="1" ht="31.15" customHeight="1" x14ac:dyDescent="0.2">
      <c r="A135" s="757"/>
      <c r="B135" s="753"/>
      <c r="C135" s="754"/>
      <c r="D135" s="758"/>
      <c r="E135" s="520">
        <v>5500</v>
      </c>
      <c r="F135" s="756"/>
      <c r="G135" s="539" t="s">
        <v>377</v>
      </c>
      <c r="H135" s="729"/>
      <c r="I135" s="751"/>
    </row>
    <row r="136" spans="1:10" s="522" customFormat="1" ht="25.5" x14ac:dyDescent="0.2">
      <c r="A136" s="757"/>
      <c r="B136" s="753"/>
      <c r="C136" s="754"/>
      <c r="D136" s="758"/>
      <c r="E136" s="520">
        <v>4400</v>
      </c>
      <c r="F136" s="756"/>
      <c r="G136" s="539" t="s">
        <v>378</v>
      </c>
      <c r="H136" s="729"/>
      <c r="I136" s="751"/>
    </row>
    <row r="137" spans="1:10" s="546" customFormat="1" ht="27" customHeight="1" x14ac:dyDescent="0.2">
      <c r="A137" s="743" t="s">
        <v>127</v>
      </c>
      <c r="B137" s="744"/>
      <c r="C137" s="569">
        <f>SUM(C124:C132)</f>
        <v>124820</v>
      </c>
      <c r="D137" s="556"/>
      <c r="E137" s="570">
        <f>SUM(E124:E136)</f>
        <v>124795</v>
      </c>
      <c r="F137" s="543"/>
      <c r="G137" s="544"/>
      <c r="H137" s="570">
        <f>SUM(H124:H136)</f>
        <v>124795</v>
      </c>
      <c r="I137" s="552"/>
    </row>
    <row r="138" spans="1:10" s="522" customFormat="1" ht="36.6" customHeight="1" x14ac:dyDescent="0.2">
      <c r="A138" s="523" t="s">
        <v>128</v>
      </c>
      <c r="B138" s="524" t="s">
        <v>37</v>
      </c>
      <c r="C138" s="525"/>
      <c r="D138" s="526"/>
      <c r="E138" s="527"/>
      <c r="F138" s="528"/>
      <c r="G138" s="529"/>
      <c r="H138" s="530"/>
      <c r="I138" s="531"/>
    </row>
    <row r="139" spans="1:10" s="522" customFormat="1" ht="75" customHeight="1" x14ac:dyDescent="0.2">
      <c r="A139" s="752" t="s">
        <v>44</v>
      </c>
      <c r="B139" s="753" t="s">
        <v>198</v>
      </c>
      <c r="C139" s="754">
        <f>[1]Кошторис_зкоригований!H103</f>
        <v>63000</v>
      </c>
      <c r="D139" s="755" t="s">
        <v>302</v>
      </c>
      <c r="E139" s="729">
        <f>C139</f>
        <v>63000</v>
      </c>
      <c r="F139" s="756" t="s">
        <v>471</v>
      </c>
      <c r="G139" s="731" t="s">
        <v>379</v>
      </c>
      <c r="H139" s="520">
        <v>17000</v>
      </c>
      <c r="I139" s="521" t="s">
        <v>380</v>
      </c>
    </row>
    <row r="140" spans="1:10" s="522" customFormat="1" ht="48.6" customHeight="1" x14ac:dyDescent="0.2">
      <c r="A140" s="752"/>
      <c r="B140" s="753"/>
      <c r="C140" s="754"/>
      <c r="D140" s="755"/>
      <c r="E140" s="730"/>
      <c r="F140" s="756"/>
      <c r="G140" s="732"/>
      <c r="H140" s="520">
        <v>46000</v>
      </c>
      <c r="I140" s="521" t="s">
        <v>381</v>
      </c>
    </row>
    <row r="141" spans="1:10" s="522" customFormat="1" ht="28.9" customHeight="1" x14ac:dyDescent="0.2">
      <c r="A141" s="523" t="s">
        <v>129</v>
      </c>
      <c r="B141" s="524" t="s">
        <v>13</v>
      </c>
      <c r="C141" s="525"/>
      <c r="D141" s="526"/>
      <c r="E141" s="527"/>
      <c r="F141" s="528"/>
      <c r="G141" s="529"/>
      <c r="H141" s="530"/>
      <c r="I141" s="531"/>
    </row>
    <row r="142" spans="1:10" s="513" customFormat="1" ht="154.9" customHeight="1" x14ac:dyDescent="0.2">
      <c r="A142" s="571" t="s">
        <v>51</v>
      </c>
      <c r="B142" s="572" t="s">
        <v>205</v>
      </c>
      <c r="C142" s="573">
        <f>[1]Кошторис_зкоригований!H113</f>
        <v>20000</v>
      </c>
      <c r="D142" s="574" t="s">
        <v>302</v>
      </c>
      <c r="E142" s="560">
        <f>C142</f>
        <v>20000</v>
      </c>
      <c r="F142" s="564" t="s">
        <v>382</v>
      </c>
      <c r="G142" s="558" t="s">
        <v>383</v>
      </c>
      <c r="H142" s="560">
        <v>20000</v>
      </c>
      <c r="I142" s="575" t="s">
        <v>384</v>
      </c>
    </row>
    <row r="143" spans="1:10" s="513" customFormat="1" ht="48.6" customHeight="1" x14ac:dyDescent="0.2">
      <c r="A143" s="749" t="s">
        <v>175</v>
      </c>
      <c r="B143" s="737" t="s">
        <v>210</v>
      </c>
      <c r="C143" s="738">
        <f>[1]Кошторис_зкоригований!H118</f>
        <v>55000</v>
      </c>
      <c r="D143" s="750" t="s">
        <v>317</v>
      </c>
      <c r="E143" s="741">
        <f>C143</f>
        <v>55000</v>
      </c>
      <c r="F143" s="742" t="s">
        <v>472</v>
      </c>
      <c r="G143" s="731" t="s">
        <v>386</v>
      </c>
      <c r="H143" s="560">
        <v>20400</v>
      </c>
      <c r="I143" s="561" t="s">
        <v>387</v>
      </c>
    </row>
    <row r="144" spans="1:10" s="513" customFormat="1" ht="43.15" customHeight="1" x14ac:dyDescent="0.2">
      <c r="A144" s="749"/>
      <c r="B144" s="737"/>
      <c r="C144" s="738"/>
      <c r="D144" s="750"/>
      <c r="E144" s="741"/>
      <c r="F144" s="742"/>
      <c r="G144" s="732"/>
      <c r="H144" s="560">
        <v>12240</v>
      </c>
      <c r="I144" s="561" t="s">
        <v>388</v>
      </c>
      <c r="J144" s="576"/>
    </row>
    <row r="145" spans="1:9" s="513" customFormat="1" ht="45.6" customHeight="1" x14ac:dyDescent="0.2">
      <c r="A145" s="749"/>
      <c r="B145" s="737"/>
      <c r="C145" s="738"/>
      <c r="D145" s="750"/>
      <c r="E145" s="741"/>
      <c r="F145" s="742"/>
      <c r="G145" s="732"/>
      <c r="H145" s="520">
        <f>24860-13000</f>
        <v>11860</v>
      </c>
      <c r="I145" s="521" t="s">
        <v>319</v>
      </c>
    </row>
    <row r="146" spans="1:9" s="513" customFormat="1" ht="62.45" customHeight="1" x14ac:dyDescent="0.2">
      <c r="A146" s="749"/>
      <c r="B146" s="737"/>
      <c r="C146" s="738"/>
      <c r="D146" s="750"/>
      <c r="E146" s="741"/>
      <c r="F146" s="742"/>
      <c r="G146" s="732"/>
      <c r="H146" s="520">
        <v>4000</v>
      </c>
      <c r="I146" s="521" t="s">
        <v>389</v>
      </c>
    </row>
    <row r="147" spans="1:9" s="522" customFormat="1" ht="114.6" customHeight="1" x14ac:dyDescent="0.2">
      <c r="A147" s="532" t="s">
        <v>176</v>
      </c>
      <c r="B147" s="533" t="s">
        <v>211</v>
      </c>
      <c r="C147" s="534">
        <f>[1]Кошторис_зкоригований!H119</f>
        <v>52000</v>
      </c>
      <c r="D147" s="555" t="s">
        <v>390</v>
      </c>
      <c r="E147" s="520">
        <f>C147</f>
        <v>52000</v>
      </c>
      <c r="F147" s="538" t="s">
        <v>473</v>
      </c>
      <c r="G147" s="558" t="s">
        <v>392</v>
      </c>
      <c r="H147" s="520">
        <v>33500</v>
      </c>
      <c r="I147" s="521" t="s">
        <v>393</v>
      </c>
    </row>
    <row r="148" spans="1:9" s="546" customFormat="1" ht="28.15" customHeight="1" x14ac:dyDescent="0.2">
      <c r="A148" s="743" t="s">
        <v>130</v>
      </c>
      <c r="B148" s="744"/>
      <c r="C148" s="569">
        <f>SUM(C139:C147)</f>
        <v>190000</v>
      </c>
      <c r="D148" s="556"/>
      <c r="E148" s="570">
        <f>SUM(E139:E147)</f>
        <v>190000</v>
      </c>
      <c r="F148" s="543"/>
      <c r="G148" s="544"/>
      <c r="H148" s="570">
        <f>SUM(H139:H147)</f>
        <v>165000</v>
      </c>
      <c r="I148" s="552"/>
    </row>
    <row r="149" spans="1:9" s="583" customFormat="1" ht="72.599999999999994" customHeight="1" x14ac:dyDescent="0.2">
      <c r="A149" s="577"/>
      <c r="B149" s="578"/>
      <c r="C149" s="579"/>
      <c r="D149" s="580"/>
      <c r="E149" s="581"/>
      <c r="F149" s="745" t="s">
        <v>394</v>
      </c>
      <c r="G149" s="746"/>
      <c r="H149" s="581"/>
      <c r="I149" s="582"/>
    </row>
    <row r="150" spans="1:9" s="590" customFormat="1" ht="13.5" thickBot="1" x14ac:dyDescent="0.25">
      <c r="A150" s="747" t="s">
        <v>147</v>
      </c>
      <c r="B150" s="748"/>
      <c r="C150" s="584">
        <f>SUM(C148,C137,C122,C110,C107,C90,C87,C79,C72,C60)</f>
        <v>1142729.6000000001</v>
      </c>
      <c r="D150" s="585"/>
      <c r="E150" s="586">
        <f>SUM(E148,E137,E122,E110,E107,E90,E87,E79,E72,E60)</f>
        <v>1141918.6500000001</v>
      </c>
      <c r="F150" s="587"/>
      <c r="G150" s="588"/>
      <c r="H150" s="586">
        <f>SUM(H148,H137,H122,H110,H107,H90,H87,H79,H72,H60)</f>
        <v>904852.65</v>
      </c>
      <c r="I150" s="589"/>
    </row>
    <row r="151" spans="1:9" s="594" customFormat="1" ht="12.75" x14ac:dyDescent="0.2">
      <c r="A151" s="591"/>
      <c r="B151" s="592"/>
      <c r="C151" s="593"/>
      <c r="E151" s="595"/>
      <c r="F151" s="595"/>
      <c r="G151" s="596"/>
      <c r="H151" s="593"/>
      <c r="I151" s="597"/>
    </row>
    <row r="152" spans="1:9" s="594" customFormat="1" ht="12.75" x14ac:dyDescent="0.2">
      <c r="A152" s="591"/>
      <c r="B152" s="592"/>
      <c r="C152" s="593"/>
      <c r="E152" s="595"/>
      <c r="F152" s="595"/>
      <c r="G152" s="596"/>
      <c r="H152" s="593"/>
      <c r="I152" s="597"/>
    </row>
    <row r="153" spans="1:9" s="594" customFormat="1" ht="12.75" x14ac:dyDescent="0.2">
      <c r="A153" s="591"/>
      <c r="B153" s="592"/>
      <c r="C153" s="593"/>
      <c r="E153" s="595"/>
      <c r="F153" s="595"/>
      <c r="G153" s="596"/>
      <c r="H153" s="593"/>
      <c r="I153" s="597"/>
    </row>
    <row r="154" spans="1:9" s="594" customFormat="1" ht="12.75" x14ac:dyDescent="0.2">
      <c r="A154" s="591"/>
      <c r="B154" s="592"/>
      <c r="C154" s="593"/>
      <c r="E154" s="595"/>
      <c r="F154" s="595"/>
      <c r="G154" s="596"/>
      <c r="H154" s="593"/>
      <c r="I154" s="597"/>
    </row>
    <row r="155" spans="1:9" s="594" customFormat="1" ht="12.75" x14ac:dyDescent="0.2">
      <c r="A155" s="591"/>
      <c r="B155" s="592"/>
      <c r="C155" s="593"/>
      <c r="E155" s="595"/>
      <c r="F155" s="595"/>
      <c r="G155" s="596"/>
      <c r="H155" s="593"/>
      <c r="I155" s="597"/>
    </row>
    <row r="156" spans="1:9" s="594" customFormat="1" ht="12.75" x14ac:dyDescent="0.2">
      <c r="A156" s="591"/>
      <c r="B156" s="592"/>
      <c r="C156" s="593"/>
      <c r="E156" s="595"/>
      <c r="F156" s="595"/>
      <c r="G156" s="596"/>
      <c r="H156" s="593"/>
      <c r="I156" s="597"/>
    </row>
    <row r="157" spans="1:9" s="594" customFormat="1" ht="12.75" x14ac:dyDescent="0.2">
      <c r="A157" s="591"/>
      <c r="B157" s="592"/>
      <c r="C157" s="593"/>
      <c r="E157" s="595"/>
      <c r="F157" s="595"/>
      <c r="G157" s="596"/>
      <c r="H157" s="593"/>
      <c r="I157" s="597"/>
    </row>
    <row r="158" spans="1:9" s="594" customFormat="1" ht="12.75" x14ac:dyDescent="0.2">
      <c r="A158" s="591"/>
      <c r="B158" s="592"/>
      <c r="C158" s="593"/>
      <c r="E158" s="595"/>
      <c r="F158" s="595"/>
      <c r="G158" s="596"/>
      <c r="H158" s="593"/>
      <c r="I158" s="597"/>
    </row>
    <row r="159" spans="1:9" s="594" customFormat="1" ht="12.75" x14ac:dyDescent="0.2">
      <c r="A159" s="591"/>
      <c r="B159" s="592"/>
      <c r="C159" s="593"/>
      <c r="E159" s="595"/>
      <c r="F159" s="595"/>
      <c r="G159" s="596"/>
      <c r="H159" s="593"/>
      <c r="I159" s="597"/>
    </row>
    <row r="160" spans="1:9" s="594" customFormat="1" ht="12.75" x14ac:dyDescent="0.2">
      <c r="A160" s="591"/>
      <c r="B160" s="592"/>
      <c r="C160" s="593"/>
      <c r="E160" s="595"/>
      <c r="F160" s="595"/>
      <c r="G160" s="596"/>
      <c r="H160" s="593"/>
      <c r="I160" s="597"/>
    </row>
    <row r="161" spans="1:9" s="594" customFormat="1" ht="12.75" x14ac:dyDescent="0.2">
      <c r="A161" s="591"/>
      <c r="B161" s="592"/>
      <c r="C161" s="593"/>
      <c r="E161" s="595"/>
      <c r="F161" s="595"/>
      <c r="G161" s="596"/>
      <c r="H161" s="593"/>
      <c r="I161" s="597"/>
    </row>
    <row r="162" spans="1:9" s="594" customFormat="1" ht="12.75" x14ac:dyDescent="0.2">
      <c r="A162" s="591"/>
      <c r="B162" s="592"/>
      <c r="C162" s="593"/>
      <c r="E162" s="595"/>
      <c r="F162" s="595"/>
      <c r="G162" s="596"/>
      <c r="H162" s="593"/>
      <c r="I162" s="597"/>
    </row>
    <row r="163" spans="1:9" s="594" customFormat="1" ht="12.75" x14ac:dyDescent="0.2">
      <c r="A163" s="591"/>
      <c r="B163" s="592"/>
      <c r="C163" s="593"/>
      <c r="E163" s="595"/>
      <c r="F163" s="595"/>
      <c r="G163" s="596"/>
      <c r="H163" s="593"/>
      <c r="I163" s="597"/>
    </row>
    <row r="164" spans="1:9" s="594" customFormat="1" ht="12.75" x14ac:dyDescent="0.2">
      <c r="A164" s="591"/>
      <c r="B164" s="592"/>
      <c r="C164" s="593"/>
      <c r="E164" s="595"/>
      <c r="F164" s="595"/>
      <c r="G164" s="596"/>
      <c r="H164" s="593"/>
      <c r="I164" s="597"/>
    </row>
    <row r="165" spans="1:9" s="594" customFormat="1" ht="12.75" x14ac:dyDescent="0.2">
      <c r="A165" s="591"/>
      <c r="B165" s="592"/>
      <c r="C165" s="593"/>
      <c r="E165" s="595"/>
      <c r="F165" s="595"/>
      <c r="G165" s="596"/>
      <c r="H165" s="593"/>
      <c r="I165" s="597"/>
    </row>
    <row r="166" spans="1:9" s="594" customFormat="1" ht="12.75" x14ac:dyDescent="0.2">
      <c r="A166" s="591"/>
      <c r="B166" s="592"/>
      <c r="C166" s="593"/>
      <c r="E166" s="595"/>
      <c r="F166" s="595"/>
      <c r="G166" s="596"/>
      <c r="H166" s="593"/>
      <c r="I166" s="597"/>
    </row>
    <row r="167" spans="1:9" s="594" customFormat="1" ht="12.75" x14ac:dyDescent="0.2">
      <c r="A167" s="591"/>
      <c r="B167" s="592"/>
      <c r="C167" s="593"/>
      <c r="E167" s="595"/>
      <c r="F167" s="595"/>
      <c r="G167" s="596"/>
      <c r="H167" s="593"/>
      <c r="I167" s="597"/>
    </row>
    <row r="168" spans="1:9" s="513" customFormat="1" ht="12.75" x14ac:dyDescent="0.2">
      <c r="A168" s="598"/>
      <c r="B168" s="599"/>
      <c r="C168" s="490"/>
      <c r="E168" s="600"/>
      <c r="F168" s="600"/>
      <c r="G168" s="601"/>
      <c r="H168" s="490"/>
      <c r="I168" s="602"/>
    </row>
    <row r="169" spans="1:9" s="513" customFormat="1" ht="12.75" x14ac:dyDescent="0.2">
      <c r="A169" s="598"/>
      <c r="B169" s="599"/>
      <c r="C169" s="490"/>
      <c r="E169" s="600"/>
      <c r="F169" s="600"/>
      <c r="G169" s="601"/>
      <c r="H169" s="490"/>
      <c r="I169" s="602"/>
    </row>
    <row r="170" spans="1:9" s="513" customFormat="1" ht="12.75" x14ac:dyDescent="0.2">
      <c r="A170" s="598"/>
      <c r="B170" s="599"/>
      <c r="C170" s="490"/>
      <c r="E170" s="600"/>
      <c r="F170" s="600"/>
      <c r="G170" s="601"/>
      <c r="H170" s="490"/>
      <c r="I170" s="602"/>
    </row>
    <row r="171" spans="1:9" s="513" customFormat="1" ht="12.75" x14ac:dyDescent="0.2">
      <c r="A171" s="598"/>
      <c r="B171" s="599"/>
      <c r="C171" s="490"/>
      <c r="E171" s="600"/>
      <c r="F171" s="600"/>
      <c r="G171" s="601"/>
      <c r="H171" s="490"/>
      <c r="I171" s="602"/>
    </row>
    <row r="172" spans="1:9" s="513" customFormat="1" ht="12.75" x14ac:dyDescent="0.2">
      <c r="A172" s="598"/>
      <c r="B172" s="599"/>
      <c r="C172" s="490"/>
      <c r="E172" s="600"/>
      <c r="F172" s="600"/>
      <c r="G172" s="601"/>
      <c r="H172" s="490"/>
      <c r="I172" s="602"/>
    </row>
    <row r="173" spans="1:9" s="513" customFormat="1" ht="12.75" x14ac:dyDescent="0.2">
      <c r="A173" s="598"/>
      <c r="B173" s="599"/>
      <c r="C173" s="490"/>
      <c r="E173" s="600"/>
      <c r="F173" s="600"/>
      <c r="G173" s="601"/>
      <c r="H173" s="490"/>
      <c r="I173" s="602"/>
    </row>
    <row r="174" spans="1:9" s="513" customFormat="1" ht="12.75" x14ac:dyDescent="0.2">
      <c r="A174" s="598"/>
      <c r="B174" s="599"/>
      <c r="C174" s="490"/>
      <c r="E174" s="600"/>
      <c r="F174" s="600"/>
      <c r="G174" s="601"/>
      <c r="H174" s="490"/>
      <c r="I174" s="602"/>
    </row>
    <row r="175" spans="1:9" s="513" customFormat="1" ht="12.75" x14ac:dyDescent="0.2">
      <c r="A175" s="598"/>
      <c r="B175" s="599"/>
      <c r="C175" s="490"/>
      <c r="E175" s="600"/>
      <c r="F175" s="600"/>
      <c r="G175" s="601"/>
      <c r="H175" s="490"/>
      <c r="I175" s="602"/>
    </row>
    <row r="176" spans="1:9" s="513" customFormat="1" ht="12.75" x14ac:dyDescent="0.2">
      <c r="A176" s="598"/>
      <c r="B176" s="599"/>
      <c r="C176" s="490"/>
      <c r="E176" s="600"/>
      <c r="F176" s="600"/>
      <c r="G176" s="601"/>
      <c r="H176" s="490"/>
      <c r="I176" s="602"/>
    </row>
    <row r="177" spans="1:9" s="513" customFormat="1" ht="12.75" x14ac:dyDescent="0.2">
      <c r="A177" s="598"/>
      <c r="B177" s="599"/>
      <c r="C177" s="490"/>
      <c r="E177" s="600"/>
      <c r="F177" s="600"/>
      <c r="G177" s="601"/>
      <c r="H177" s="490"/>
      <c r="I177" s="602"/>
    </row>
    <row r="178" spans="1:9" s="513" customFormat="1" ht="12.75" x14ac:dyDescent="0.2">
      <c r="A178" s="598"/>
      <c r="B178" s="599"/>
      <c r="C178" s="490"/>
      <c r="E178" s="600"/>
      <c r="F178" s="600"/>
      <c r="G178" s="601"/>
      <c r="H178" s="490"/>
      <c r="I178" s="602"/>
    </row>
    <row r="179" spans="1:9" s="513" customFormat="1" ht="12.75" x14ac:dyDescent="0.2">
      <c r="A179" s="598"/>
      <c r="B179" s="599"/>
      <c r="C179" s="490"/>
      <c r="E179" s="600"/>
      <c r="F179" s="600"/>
      <c r="G179" s="601"/>
      <c r="H179" s="490"/>
      <c r="I179" s="602"/>
    </row>
  </sheetData>
  <autoFilter ref="A13:I150"/>
  <mergeCells count="147">
    <mergeCell ref="G2:I5"/>
    <mergeCell ref="A6:I6"/>
    <mergeCell ref="C8:I8"/>
    <mergeCell ref="A10:B10"/>
    <mergeCell ref="C10:I10"/>
    <mergeCell ref="A12:C12"/>
    <mergeCell ref="D12:I12"/>
    <mergeCell ref="A30:A44"/>
    <mergeCell ref="B30:B44"/>
    <mergeCell ref="C30:C44"/>
    <mergeCell ref="D30:D44"/>
    <mergeCell ref="E30:E44"/>
    <mergeCell ref="A15:A29"/>
    <mergeCell ref="B15:B29"/>
    <mergeCell ref="C15:C29"/>
    <mergeCell ref="D15:D29"/>
    <mergeCell ref="E15:E29"/>
    <mergeCell ref="F30:F44"/>
    <mergeCell ref="G30:G32"/>
    <mergeCell ref="G33:G35"/>
    <mergeCell ref="G36:G38"/>
    <mergeCell ref="G39:G41"/>
    <mergeCell ref="G42:G44"/>
    <mergeCell ref="G15:G17"/>
    <mergeCell ref="G18:G20"/>
    <mergeCell ref="G21:G23"/>
    <mergeCell ref="G24:G26"/>
    <mergeCell ref="G27:G29"/>
    <mergeCell ref="F15:F29"/>
    <mergeCell ref="F46:F48"/>
    <mergeCell ref="G46:G48"/>
    <mergeCell ref="F49:F53"/>
    <mergeCell ref="G49:G53"/>
    <mergeCell ref="A50:A52"/>
    <mergeCell ref="B50:B52"/>
    <mergeCell ref="C50:C52"/>
    <mergeCell ref="D50:D52"/>
    <mergeCell ref="E50:E52"/>
    <mergeCell ref="A60:B60"/>
    <mergeCell ref="A62:A66"/>
    <mergeCell ref="B62:B66"/>
    <mergeCell ref="C62:C66"/>
    <mergeCell ref="D62:D66"/>
    <mergeCell ref="E62:E66"/>
    <mergeCell ref="F54:F58"/>
    <mergeCell ref="G54:G58"/>
    <mergeCell ref="A55:A57"/>
    <mergeCell ref="B55:B57"/>
    <mergeCell ref="C55:C57"/>
    <mergeCell ref="D55:D57"/>
    <mergeCell ref="E55:E57"/>
    <mergeCell ref="A72:B72"/>
    <mergeCell ref="A74:A76"/>
    <mergeCell ref="B74:B76"/>
    <mergeCell ref="C74:C76"/>
    <mergeCell ref="D74:D76"/>
    <mergeCell ref="E74:E75"/>
    <mergeCell ref="F62:F66"/>
    <mergeCell ref="A67:A71"/>
    <mergeCell ref="B67:B71"/>
    <mergeCell ref="C67:C71"/>
    <mergeCell ref="D67:D71"/>
    <mergeCell ref="E67:E71"/>
    <mergeCell ref="F67:F71"/>
    <mergeCell ref="D83:D86"/>
    <mergeCell ref="E83:E84"/>
    <mergeCell ref="F83:F85"/>
    <mergeCell ref="G83:G84"/>
    <mergeCell ref="A87:B87"/>
    <mergeCell ref="A90:B90"/>
    <mergeCell ref="F74:F76"/>
    <mergeCell ref="G74:G75"/>
    <mergeCell ref="A79:B79"/>
    <mergeCell ref="A81:A86"/>
    <mergeCell ref="B81:B86"/>
    <mergeCell ref="C81:C86"/>
    <mergeCell ref="D81:D82"/>
    <mergeCell ref="E81:E82"/>
    <mergeCell ref="F81:F82"/>
    <mergeCell ref="G81:G82"/>
    <mergeCell ref="A107:B107"/>
    <mergeCell ref="A110:B110"/>
    <mergeCell ref="G92:G97"/>
    <mergeCell ref="A98:A100"/>
    <mergeCell ref="B98:B100"/>
    <mergeCell ref="C98:C100"/>
    <mergeCell ref="A103:A105"/>
    <mergeCell ref="B103:B105"/>
    <mergeCell ref="C103:C105"/>
    <mergeCell ref="D103:D105"/>
    <mergeCell ref="E103:E104"/>
    <mergeCell ref="F103:F105"/>
    <mergeCell ref="A92:A97"/>
    <mergeCell ref="B92:B97"/>
    <mergeCell ref="C92:C97"/>
    <mergeCell ref="D92:D97"/>
    <mergeCell ref="E92:E97"/>
    <mergeCell ref="F92:F97"/>
    <mergeCell ref="H132:H136"/>
    <mergeCell ref="I132:I136"/>
    <mergeCell ref="A137:B137"/>
    <mergeCell ref="A139:A140"/>
    <mergeCell ref="B139:B140"/>
    <mergeCell ref="C139:C140"/>
    <mergeCell ref="D139:D140"/>
    <mergeCell ref="E139:E140"/>
    <mergeCell ref="F139:F140"/>
    <mergeCell ref="G139:G140"/>
    <mergeCell ref="A132:A136"/>
    <mergeCell ref="B132:B136"/>
    <mergeCell ref="C132:C136"/>
    <mergeCell ref="D132:D136"/>
    <mergeCell ref="F132:F136"/>
    <mergeCell ref="G143:G146"/>
    <mergeCell ref="A148:B148"/>
    <mergeCell ref="F149:G149"/>
    <mergeCell ref="A150:B150"/>
    <mergeCell ref="A143:A146"/>
    <mergeCell ref="B143:B146"/>
    <mergeCell ref="C143:C146"/>
    <mergeCell ref="D143:D146"/>
    <mergeCell ref="E143:E146"/>
    <mergeCell ref="F143:F146"/>
    <mergeCell ref="H126:H131"/>
    <mergeCell ref="A126:A131"/>
    <mergeCell ref="B126:B131"/>
    <mergeCell ref="C126:C131"/>
    <mergeCell ref="D126:D131"/>
    <mergeCell ref="F126:F131"/>
    <mergeCell ref="I126:I131"/>
    <mergeCell ref="A115:A121"/>
    <mergeCell ref="B115:B121"/>
    <mergeCell ref="C115:C121"/>
    <mergeCell ref="D115:D121"/>
    <mergeCell ref="F115:F121"/>
    <mergeCell ref="H115:H118"/>
    <mergeCell ref="I115:I118"/>
    <mergeCell ref="G124:G125"/>
    <mergeCell ref="E115:E118"/>
    <mergeCell ref="G115:G118"/>
    <mergeCell ref="A122:B122"/>
    <mergeCell ref="A124:A125"/>
    <mergeCell ref="B124:B125"/>
    <mergeCell ref="C124:C125"/>
    <mergeCell ref="D124:D125"/>
    <mergeCell ref="E124:E125"/>
    <mergeCell ref="F124:F125"/>
  </mergeCells>
  <pageMargins left="0.31496062992125984" right="0.11811023622047245" top="0.15748031496062992" bottom="0.15748031496062992" header="0.31496062992125984" footer="0.31496062992125984"/>
  <pageSetup paperSize="9" scale="62" fitToHeight="12" orientation="landscape" r:id="rId1"/>
  <rowBreaks count="9" manualBreakCount="9">
    <brk id="29" max="8" man="1"/>
    <brk id="47" max="8" man="1"/>
    <brk id="57" max="8" man="1"/>
    <brk id="72" max="8" man="1"/>
    <brk id="79" max="8" man="1"/>
    <brk id="87" max="8" man="1"/>
    <brk id="110" max="8" man="1"/>
    <brk id="122" max="8" man="1"/>
    <brk id="1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zoomScale="90" zoomScaleNormal="90" zoomScaleSheetLayoutView="62" workbookViewId="0">
      <pane ySplit="3" topLeftCell="A65" activePane="bottomLeft" state="frozen"/>
      <selection activeCell="G135" sqref="G135:G138"/>
      <selection pane="bottomLeft" activeCell="G32" sqref="G32"/>
    </sheetView>
  </sheetViews>
  <sheetFormatPr defaultColWidth="8.85546875" defaultRowHeight="15.75" x14ac:dyDescent="0.25"/>
  <cols>
    <col min="1" max="1" width="8.85546875" style="488"/>
    <col min="2" max="2" width="30.28515625" style="603" customWidth="1"/>
    <col min="3" max="3" width="11.140625" style="490" customWidth="1"/>
    <col min="4" max="4" width="20.5703125" style="491" customWidth="1"/>
    <col min="5" max="5" width="13.42578125" style="604" bestFit="1" customWidth="1"/>
    <col min="6" max="6" width="15.5703125" style="491" customWidth="1"/>
    <col min="7" max="7" width="26.7109375" style="502" customWidth="1"/>
    <col min="8" max="8" width="13.7109375" style="503" customWidth="1"/>
    <col min="9" max="9" width="16.42578125" style="504" customWidth="1"/>
    <col min="10" max="16384" width="8.85546875" style="491"/>
  </cols>
  <sheetData>
    <row r="1" spans="1:9" ht="16.5" thickBot="1" x14ac:dyDescent="0.3"/>
    <row r="2" spans="1:9" s="505" customFormat="1" ht="15.6" customHeight="1" x14ac:dyDescent="0.25">
      <c r="A2" s="823" t="s">
        <v>148</v>
      </c>
      <c r="B2" s="824"/>
      <c r="C2" s="825"/>
      <c r="D2" s="823" t="s">
        <v>222</v>
      </c>
      <c r="E2" s="824"/>
      <c r="F2" s="824"/>
      <c r="G2" s="824"/>
      <c r="H2" s="824"/>
      <c r="I2" s="825"/>
    </row>
    <row r="3" spans="1:9" s="513" customFormat="1" ht="51" x14ac:dyDescent="0.2">
      <c r="A3" s="506" t="s">
        <v>223</v>
      </c>
      <c r="B3" s="510" t="s">
        <v>0</v>
      </c>
      <c r="C3" s="512" t="s">
        <v>224</v>
      </c>
      <c r="D3" s="506" t="s">
        <v>225</v>
      </c>
      <c r="E3" s="509" t="s">
        <v>224</v>
      </c>
      <c r="F3" s="509" t="s">
        <v>226</v>
      </c>
      <c r="G3" s="509" t="s">
        <v>227</v>
      </c>
      <c r="H3" s="509" t="s">
        <v>228</v>
      </c>
      <c r="I3" s="512" t="s">
        <v>229</v>
      </c>
    </row>
    <row r="4" spans="1:9" s="513" customFormat="1" ht="16.899999999999999" customHeight="1" x14ac:dyDescent="0.2">
      <c r="A4" s="514" t="s">
        <v>113</v>
      </c>
      <c r="B4" s="515" t="s">
        <v>30</v>
      </c>
      <c r="C4" s="516"/>
      <c r="D4" s="517"/>
      <c r="E4" s="515"/>
      <c r="F4" s="518"/>
      <c r="G4" s="519"/>
      <c r="H4" s="518"/>
      <c r="I4" s="516"/>
    </row>
    <row r="5" spans="1:9" s="522" customFormat="1" ht="39" customHeight="1" x14ac:dyDescent="0.2">
      <c r="A5" s="813" t="s">
        <v>46</v>
      </c>
      <c r="B5" s="805" t="s">
        <v>163</v>
      </c>
      <c r="C5" s="717">
        <f>[1]Кошторис_зкоригований!K17</f>
        <v>8050</v>
      </c>
      <c r="D5" s="768" t="s">
        <v>264</v>
      </c>
      <c r="E5" s="708">
        <f>H5+H6</f>
        <v>11847.810000000001</v>
      </c>
      <c r="F5" s="723" t="s">
        <v>265</v>
      </c>
      <c r="G5" s="539" t="s">
        <v>395</v>
      </c>
      <c r="H5" s="520">
        <v>828.27</v>
      </c>
      <c r="I5" s="605" t="s">
        <v>396</v>
      </c>
    </row>
    <row r="6" spans="1:9" s="522" customFormat="1" ht="25.5" x14ac:dyDescent="0.2">
      <c r="A6" s="815"/>
      <c r="B6" s="806"/>
      <c r="C6" s="719"/>
      <c r="D6" s="770"/>
      <c r="E6" s="710"/>
      <c r="F6" s="725"/>
      <c r="G6" s="539" t="s">
        <v>397</v>
      </c>
      <c r="H6" s="520">
        <v>11019.54</v>
      </c>
      <c r="I6" s="606" t="s">
        <v>250</v>
      </c>
    </row>
    <row r="7" spans="1:9" s="522" customFormat="1" ht="38.450000000000003" customHeight="1" x14ac:dyDescent="0.2">
      <c r="A7" s="813" t="s">
        <v>50</v>
      </c>
      <c r="B7" s="805" t="s">
        <v>165</v>
      </c>
      <c r="C7" s="717">
        <f>[1]Кошторис_зкоригований!K18</f>
        <v>8050</v>
      </c>
      <c r="D7" s="768" t="s">
        <v>398</v>
      </c>
      <c r="E7" s="708">
        <f>H7+H8</f>
        <v>12261.310000000001</v>
      </c>
      <c r="F7" s="723" t="s">
        <v>271</v>
      </c>
      <c r="G7" s="539" t="s">
        <v>399</v>
      </c>
      <c r="H7" s="520">
        <v>833.21</v>
      </c>
      <c r="I7" s="536" t="s">
        <v>400</v>
      </c>
    </row>
    <row r="8" spans="1:9" s="522" customFormat="1" ht="25.5" x14ac:dyDescent="0.2">
      <c r="A8" s="815"/>
      <c r="B8" s="806"/>
      <c r="C8" s="719"/>
      <c r="D8" s="770"/>
      <c r="E8" s="710"/>
      <c r="F8" s="725"/>
      <c r="G8" s="539" t="s">
        <v>401</v>
      </c>
      <c r="H8" s="520">
        <v>11428.1</v>
      </c>
      <c r="I8" s="521" t="s">
        <v>250</v>
      </c>
    </row>
    <row r="9" spans="1:9" s="522" customFormat="1" ht="42" customHeight="1" x14ac:dyDescent="0.2">
      <c r="A9" s="767" t="s">
        <v>51</v>
      </c>
      <c r="B9" s="822" t="s">
        <v>166</v>
      </c>
      <c r="C9" s="754">
        <f>[1]Кошторис_зкоригований!K19</f>
        <v>8050</v>
      </c>
      <c r="D9" s="771" t="s">
        <v>402</v>
      </c>
      <c r="E9" s="708">
        <f>H9+H10</f>
        <v>12261.310000000001</v>
      </c>
      <c r="F9" s="723" t="s">
        <v>279</v>
      </c>
      <c r="G9" s="539" t="s">
        <v>403</v>
      </c>
      <c r="H9" s="520">
        <v>833.21</v>
      </c>
      <c r="I9" s="536" t="s">
        <v>404</v>
      </c>
    </row>
    <row r="10" spans="1:9" s="522" customFormat="1" ht="25.5" x14ac:dyDescent="0.2">
      <c r="A10" s="767"/>
      <c r="B10" s="822"/>
      <c r="C10" s="754"/>
      <c r="D10" s="771"/>
      <c r="E10" s="710"/>
      <c r="F10" s="725"/>
      <c r="G10" s="539" t="s">
        <v>401</v>
      </c>
      <c r="H10" s="520">
        <v>11428.1</v>
      </c>
      <c r="I10" s="521" t="s">
        <v>250</v>
      </c>
    </row>
    <row r="11" spans="1:9" s="522" customFormat="1" ht="36" customHeight="1" x14ac:dyDescent="0.2">
      <c r="A11" s="813" t="s">
        <v>177</v>
      </c>
      <c r="B11" s="805" t="s">
        <v>174</v>
      </c>
      <c r="C11" s="717">
        <f>[1]Кошторис_зкоригований!K26</f>
        <v>119500</v>
      </c>
      <c r="D11" s="768" t="s">
        <v>405</v>
      </c>
      <c r="E11" s="708">
        <f>SUM(H11:H25)</f>
        <v>119500</v>
      </c>
      <c r="F11" s="723" t="s">
        <v>406</v>
      </c>
      <c r="G11" s="792" t="s">
        <v>407</v>
      </c>
      <c r="H11" s="520">
        <v>4809.87</v>
      </c>
      <c r="I11" s="521" t="s">
        <v>408</v>
      </c>
    </row>
    <row r="12" spans="1:9" s="522" customFormat="1" ht="22.15" customHeight="1" x14ac:dyDescent="0.2">
      <c r="A12" s="814"/>
      <c r="B12" s="816"/>
      <c r="C12" s="718"/>
      <c r="D12" s="769"/>
      <c r="E12" s="709"/>
      <c r="F12" s="724"/>
      <c r="G12" s="793"/>
      <c r="H12" s="520">
        <v>1075.5</v>
      </c>
      <c r="I12" s="521" t="s">
        <v>409</v>
      </c>
    </row>
    <row r="13" spans="1:9" s="522" customFormat="1" ht="16.149999999999999" customHeight="1" x14ac:dyDescent="0.2">
      <c r="A13" s="814"/>
      <c r="B13" s="816"/>
      <c r="C13" s="718"/>
      <c r="D13" s="769"/>
      <c r="E13" s="709"/>
      <c r="F13" s="724"/>
      <c r="G13" s="794"/>
      <c r="H13" s="520">
        <v>89.63</v>
      </c>
      <c r="I13" s="521" t="s">
        <v>410</v>
      </c>
    </row>
    <row r="14" spans="1:9" s="522" customFormat="1" ht="12.75" x14ac:dyDescent="0.2">
      <c r="A14" s="814"/>
      <c r="B14" s="816"/>
      <c r="C14" s="718"/>
      <c r="D14" s="769"/>
      <c r="E14" s="709"/>
      <c r="F14" s="724"/>
      <c r="G14" s="792" t="s">
        <v>411</v>
      </c>
      <c r="H14" s="520">
        <v>24049.37</v>
      </c>
      <c r="I14" s="521" t="s">
        <v>239</v>
      </c>
    </row>
    <row r="15" spans="1:9" s="522" customFormat="1" ht="28.9" customHeight="1" x14ac:dyDescent="0.2">
      <c r="A15" s="814"/>
      <c r="B15" s="816"/>
      <c r="C15" s="718"/>
      <c r="D15" s="769"/>
      <c r="E15" s="709"/>
      <c r="F15" s="724"/>
      <c r="G15" s="793"/>
      <c r="H15" s="520">
        <v>5377.5</v>
      </c>
      <c r="I15" s="521" t="s">
        <v>412</v>
      </c>
    </row>
    <row r="16" spans="1:9" s="522" customFormat="1" ht="66" customHeight="1" x14ac:dyDescent="0.2">
      <c r="A16" s="814"/>
      <c r="B16" s="816"/>
      <c r="C16" s="718"/>
      <c r="D16" s="769"/>
      <c r="E16" s="709"/>
      <c r="F16" s="724"/>
      <c r="G16" s="794"/>
      <c r="H16" s="520">
        <v>448.13</v>
      </c>
      <c r="I16" s="521" t="s">
        <v>413</v>
      </c>
    </row>
    <row r="17" spans="1:9" s="522" customFormat="1" ht="25.9" customHeight="1" x14ac:dyDescent="0.2">
      <c r="A17" s="814"/>
      <c r="B17" s="816"/>
      <c r="C17" s="718"/>
      <c r="D17" s="769"/>
      <c r="E17" s="709"/>
      <c r="F17" s="724"/>
      <c r="G17" s="792" t="s">
        <v>414</v>
      </c>
      <c r="H17" s="520">
        <v>24049.37</v>
      </c>
      <c r="I17" s="521" t="s">
        <v>243</v>
      </c>
    </row>
    <row r="18" spans="1:9" s="522" customFormat="1" ht="12.75" x14ac:dyDescent="0.2">
      <c r="A18" s="814"/>
      <c r="B18" s="816"/>
      <c r="C18" s="718"/>
      <c r="D18" s="769"/>
      <c r="E18" s="709"/>
      <c r="F18" s="724"/>
      <c r="G18" s="793"/>
      <c r="H18" s="520">
        <v>5377.5</v>
      </c>
      <c r="I18" s="521" t="s">
        <v>291</v>
      </c>
    </row>
    <row r="19" spans="1:9" s="522" customFormat="1" ht="77.25" customHeight="1" x14ac:dyDescent="0.2">
      <c r="A19" s="814"/>
      <c r="B19" s="816"/>
      <c r="C19" s="718"/>
      <c r="D19" s="769"/>
      <c r="E19" s="709"/>
      <c r="F19" s="724"/>
      <c r="G19" s="794"/>
      <c r="H19" s="520">
        <v>448.13</v>
      </c>
      <c r="I19" s="521" t="s">
        <v>415</v>
      </c>
    </row>
    <row r="20" spans="1:9" s="522" customFormat="1" ht="20.45" customHeight="1" x14ac:dyDescent="0.2">
      <c r="A20" s="814"/>
      <c r="B20" s="816"/>
      <c r="C20" s="718"/>
      <c r="D20" s="769"/>
      <c r="E20" s="709"/>
      <c r="F20" s="724"/>
      <c r="G20" s="792" t="s">
        <v>416</v>
      </c>
      <c r="H20" s="520">
        <v>24049.37</v>
      </c>
      <c r="I20" s="521" t="s">
        <v>245</v>
      </c>
    </row>
    <row r="21" spans="1:9" s="522" customFormat="1" ht="25.9" customHeight="1" x14ac:dyDescent="0.2">
      <c r="A21" s="814"/>
      <c r="B21" s="816"/>
      <c r="C21" s="718"/>
      <c r="D21" s="769"/>
      <c r="E21" s="709"/>
      <c r="F21" s="724"/>
      <c r="G21" s="793"/>
      <c r="H21" s="520">
        <v>5377.5</v>
      </c>
      <c r="I21" s="521" t="s">
        <v>292</v>
      </c>
    </row>
    <row r="22" spans="1:9" s="522" customFormat="1" ht="61.5" customHeight="1" x14ac:dyDescent="0.2">
      <c r="A22" s="814"/>
      <c r="B22" s="816"/>
      <c r="C22" s="718"/>
      <c r="D22" s="769"/>
      <c r="E22" s="709"/>
      <c r="F22" s="724"/>
      <c r="G22" s="794"/>
      <c r="H22" s="520">
        <v>448.13</v>
      </c>
      <c r="I22" s="521" t="s">
        <v>246</v>
      </c>
    </row>
    <row r="23" spans="1:9" s="522" customFormat="1" ht="16.899999999999999" customHeight="1" x14ac:dyDescent="0.2">
      <c r="A23" s="814"/>
      <c r="B23" s="816"/>
      <c r="C23" s="718"/>
      <c r="D23" s="769"/>
      <c r="E23" s="709"/>
      <c r="F23" s="724"/>
      <c r="G23" s="792" t="s">
        <v>417</v>
      </c>
      <c r="H23" s="520">
        <v>19239.5</v>
      </c>
      <c r="I23" s="521" t="s">
        <v>293</v>
      </c>
    </row>
    <row r="24" spans="1:9" s="522" customFormat="1" ht="22.15" customHeight="1" x14ac:dyDescent="0.2">
      <c r="A24" s="814"/>
      <c r="B24" s="816"/>
      <c r="C24" s="718"/>
      <c r="D24" s="769"/>
      <c r="E24" s="709"/>
      <c r="F24" s="724"/>
      <c r="G24" s="793"/>
      <c r="H24" s="520">
        <v>4302</v>
      </c>
      <c r="I24" s="521" t="s">
        <v>418</v>
      </c>
    </row>
    <row r="25" spans="1:9" s="522" customFormat="1" ht="66" customHeight="1" x14ac:dyDescent="0.2">
      <c r="A25" s="815"/>
      <c r="B25" s="806"/>
      <c r="C25" s="719"/>
      <c r="D25" s="770"/>
      <c r="E25" s="710"/>
      <c r="F25" s="725"/>
      <c r="G25" s="794"/>
      <c r="H25" s="520">
        <v>358.5</v>
      </c>
      <c r="I25" s="521" t="s">
        <v>250</v>
      </c>
    </row>
    <row r="26" spans="1:9" s="522" customFormat="1" ht="15" customHeight="1" x14ac:dyDescent="0.2">
      <c r="A26" s="820" t="s">
        <v>114</v>
      </c>
      <c r="B26" s="821"/>
      <c r="C26" s="540">
        <f>SUM(C4:C25)</f>
        <v>143650</v>
      </c>
      <c r="D26" s="556"/>
      <c r="E26" s="607">
        <f>SUM(E4:E25)</f>
        <v>155870.43</v>
      </c>
      <c r="F26" s="608"/>
      <c r="G26" s="544" t="s">
        <v>474</v>
      </c>
      <c r="H26" s="607">
        <f>SUM(H4:H25)</f>
        <v>155870.43</v>
      </c>
      <c r="I26" s="552"/>
    </row>
    <row r="27" spans="1:9" s="513" customFormat="1" ht="16.899999999999999" customHeight="1" x14ac:dyDescent="0.2">
      <c r="A27" s="514" t="s">
        <v>29</v>
      </c>
      <c r="B27" s="515" t="s">
        <v>39</v>
      </c>
      <c r="C27" s="516"/>
      <c r="D27" s="517"/>
      <c r="E27" s="515"/>
      <c r="F27" s="518"/>
      <c r="G27" s="519"/>
      <c r="H27" s="518"/>
      <c r="I27" s="516"/>
    </row>
    <row r="28" spans="1:9" s="522" customFormat="1" ht="25.5" x14ac:dyDescent="0.2">
      <c r="A28" s="813" t="s">
        <v>46</v>
      </c>
      <c r="B28" s="805" t="s">
        <v>419</v>
      </c>
      <c r="C28" s="717">
        <f>[1]Кошторис_зкоригований!K32</f>
        <v>26290</v>
      </c>
      <c r="D28" s="768" t="s">
        <v>405</v>
      </c>
      <c r="E28" s="708">
        <f>SUM(H28:H32)</f>
        <v>26290</v>
      </c>
      <c r="F28" s="817"/>
      <c r="G28" s="539" t="s">
        <v>491</v>
      </c>
      <c r="H28" s="550">
        <v>1314.5</v>
      </c>
      <c r="I28" s="521" t="s">
        <v>420</v>
      </c>
    </row>
    <row r="29" spans="1:9" s="522" customFormat="1" ht="25.5" x14ac:dyDescent="0.2">
      <c r="A29" s="814"/>
      <c r="B29" s="816"/>
      <c r="C29" s="718"/>
      <c r="D29" s="769"/>
      <c r="E29" s="709"/>
      <c r="F29" s="818"/>
      <c r="G29" s="539" t="s">
        <v>492</v>
      </c>
      <c r="H29" s="550">
        <v>6572.5</v>
      </c>
      <c r="I29" s="521" t="s">
        <v>421</v>
      </c>
    </row>
    <row r="30" spans="1:9" s="522" customFormat="1" ht="25.5" x14ac:dyDescent="0.2">
      <c r="A30" s="814"/>
      <c r="B30" s="816"/>
      <c r="C30" s="718"/>
      <c r="D30" s="769"/>
      <c r="E30" s="709"/>
      <c r="F30" s="818"/>
      <c r="G30" s="539" t="s">
        <v>493</v>
      </c>
      <c r="H30" s="550">
        <v>6572.5</v>
      </c>
      <c r="I30" s="521" t="s">
        <v>242</v>
      </c>
    </row>
    <row r="31" spans="1:9" s="522" customFormat="1" ht="25.5" x14ac:dyDescent="0.2">
      <c r="A31" s="814"/>
      <c r="B31" s="816"/>
      <c r="C31" s="718"/>
      <c r="D31" s="769"/>
      <c r="E31" s="709"/>
      <c r="F31" s="818"/>
      <c r="G31" s="539" t="s">
        <v>494</v>
      </c>
      <c r="H31" s="550">
        <v>6572.5</v>
      </c>
      <c r="I31" s="521" t="s">
        <v>247</v>
      </c>
    </row>
    <row r="32" spans="1:9" s="522" customFormat="1" ht="25.5" x14ac:dyDescent="0.2">
      <c r="A32" s="815"/>
      <c r="B32" s="806"/>
      <c r="C32" s="719"/>
      <c r="D32" s="770"/>
      <c r="E32" s="710"/>
      <c r="F32" s="819"/>
      <c r="G32" s="539" t="s">
        <v>495</v>
      </c>
      <c r="H32" s="550">
        <v>5258</v>
      </c>
      <c r="I32" s="521" t="s">
        <v>251</v>
      </c>
    </row>
    <row r="33" spans="1:9" s="522" customFormat="1" ht="25.9" customHeight="1" x14ac:dyDescent="0.2">
      <c r="A33" s="795" t="s">
        <v>295</v>
      </c>
      <c r="B33" s="796"/>
      <c r="C33" s="508">
        <f>SUM(C28:C28)</f>
        <v>26290</v>
      </c>
      <c r="D33" s="609"/>
      <c r="E33" s="610">
        <f>SUM(E28:E28)</f>
        <v>26290</v>
      </c>
      <c r="F33" s="608"/>
      <c r="G33" s="544"/>
      <c r="H33" s="610">
        <f>SUM(H28:H32)</f>
        <v>26290</v>
      </c>
      <c r="I33" s="552"/>
    </row>
    <row r="34" spans="1:9" s="513" customFormat="1" ht="33" customHeight="1" x14ac:dyDescent="0.2">
      <c r="A34" s="514" t="s">
        <v>33</v>
      </c>
      <c r="B34" s="515" t="s">
        <v>41</v>
      </c>
      <c r="C34" s="516"/>
      <c r="D34" s="517"/>
      <c r="E34" s="515"/>
      <c r="F34" s="518"/>
      <c r="G34" s="519"/>
      <c r="H34" s="518"/>
      <c r="I34" s="516"/>
    </row>
    <row r="35" spans="1:9" s="522" customFormat="1" ht="130.15" customHeight="1" x14ac:dyDescent="0.2">
      <c r="A35" s="554" t="s">
        <v>44</v>
      </c>
      <c r="B35" s="611" t="s">
        <v>179</v>
      </c>
      <c r="C35" s="534">
        <f>[1]Кошторис_зкоригований!K53</f>
        <v>20000</v>
      </c>
      <c r="D35" s="555" t="s">
        <v>302</v>
      </c>
      <c r="E35" s="520">
        <f>C35</f>
        <v>20000</v>
      </c>
      <c r="F35" s="538" t="s">
        <v>422</v>
      </c>
      <c r="G35" s="558" t="s">
        <v>304</v>
      </c>
      <c r="H35" s="520">
        <v>20000</v>
      </c>
      <c r="I35" s="521" t="s">
        <v>423</v>
      </c>
    </row>
    <row r="36" spans="1:9" s="522" customFormat="1" ht="27" customHeight="1" x14ac:dyDescent="0.2">
      <c r="A36" s="795" t="s">
        <v>118</v>
      </c>
      <c r="B36" s="796"/>
      <c r="C36" s="508">
        <f>C35</f>
        <v>20000</v>
      </c>
      <c r="D36" s="556"/>
      <c r="E36" s="508">
        <f>E35</f>
        <v>20000</v>
      </c>
      <c r="F36" s="608"/>
      <c r="G36" s="544"/>
      <c r="H36" s="508">
        <f>H35</f>
        <v>20000</v>
      </c>
      <c r="I36" s="552"/>
    </row>
    <row r="37" spans="1:9" s="513" customFormat="1" ht="12.75" x14ac:dyDescent="0.2">
      <c r="A37" s="514" t="s">
        <v>48</v>
      </c>
      <c r="B37" s="515" t="s">
        <v>36</v>
      </c>
      <c r="C37" s="516"/>
      <c r="D37" s="517"/>
      <c r="E37" s="515"/>
      <c r="F37" s="518"/>
      <c r="G37" s="519"/>
      <c r="H37" s="518"/>
      <c r="I37" s="516"/>
    </row>
    <row r="38" spans="1:9" s="522" customFormat="1" ht="154.15" customHeight="1" x14ac:dyDescent="0.2">
      <c r="A38" s="764" t="s">
        <v>44</v>
      </c>
      <c r="B38" s="714" t="s">
        <v>180</v>
      </c>
      <c r="C38" s="717">
        <f>[1]Кошторис_зкоригований!K66</f>
        <v>40000</v>
      </c>
      <c r="D38" s="720" t="s">
        <v>306</v>
      </c>
      <c r="E38" s="612">
        <f>37300-Реєстр_грант!E81</f>
        <v>13000</v>
      </c>
      <c r="F38" s="613" t="s">
        <v>475</v>
      </c>
      <c r="G38" s="614" t="s">
        <v>476</v>
      </c>
      <c r="H38" s="615">
        <v>13000</v>
      </c>
      <c r="I38" s="616" t="s">
        <v>424</v>
      </c>
    </row>
    <row r="39" spans="1:9" s="522" customFormat="1" ht="180.6" customHeight="1" x14ac:dyDescent="0.2">
      <c r="A39" s="765"/>
      <c r="B39" s="715"/>
      <c r="C39" s="718"/>
      <c r="D39" s="721"/>
      <c r="E39" s="520">
        <f>[1]Контрагенти!I17</f>
        <v>27000</v>
      </c>
      <c r="F39" s="613" t="s">
        <v>477</v>
      </c>
      <c r="G39" s="614" t="s">
        <v>425</v>
      </c>
      <c r="H39" s="520">
        <v>27000</v>
      </c>
      <c r="I39" s="521" t="s">
        <v>426</v>
      </c>
    </row>
    <row r="40" spans="1:9" s="522" customFormat="1" ht="96" customHeight="1" x14ac:dyDescent="0.2">
      <c r="A40" s="766"/>
      <c r="B40" s="716"/>
      <c r="C40" s="719"/>
      <c r="D40" s="722"/>
      <c r="E40" s="520"/>
      <c r="F40" s="538"/>
      <c r="G40" s="558" t="s">
        <v>316</v>
      </c>
      <c r="H40" s="520"/>
      <c r="I40" s="521"/>
    </row>
    <row r="41" spans="1:9" s="522" customFormat="1" ht="26.45" customHeight="1" x14ac:dyDescent="0.2">
      <c r="A41" s="795" t="s">
        <v>121</v>
      </c>
      <c r="B41" s="796"/>
      <c r="C41" s="508">
        <f>C38</f>
        <v>40000</v>
      </c>
      <c r="D41" s="556"/>
      <c r="E41" s="508">
        <f>E38+E39</f>
        <v>40000</v>
      </c>
      <c r="F41" s="608"/>
      <c r="G41" s="544"/>
      <c r="H41" s="508">
        <f>H38+H39</f>
        <v>40000</v>
      </c>
      <c r="I41" s="552"/>
    </row>
    <row r="42" spans="1:9" s="513" customFormat="1" ht="12.75" x14ac:dyDescent="0.2">
      <c r="A42" s="514" t="s">
        <v>49</v>
      </c>
      <c r="B42" s="515" t="s">
        <v>16</v>
      </c>
      <c r="C42" s="516"/>
      <c r="D42" s="517"/>
      <c r="E42" s="515"/>
      <c r="F42" s="518"/>
      <c r="G42" s="519"/>
      <c r="H42" s="518"/>
      <c r="I42" s="516"/>
    </row>
    <row r="43" spans="1:9" s="522" customFormat="1" ht="52.9" customHeight="1" x14ac:dyDescent="0.2">
      <c r="A43" s="764" t="s">
        <v>44</v>
      </c>
      <c r="B43" s="805" t="s">
        <v>181</v>
      </c>
      <c r="C43" s="754">
        <f>[1]Кошторис_зкоригований!K74</f>
        <v>8000</v>
      </c>
      <c r="D43" s="720" t="s">
        <v>317</v>
      </c>
      <c r="E43" s="708">
        <f>C43</f>
        <v>8000</v>
      </c>
      <c r="F43" s="723" t="s">
        <v>385</v>
      </c>
      <c r="G43" s="801" t="s">
        <v>318</v>
      </c>
      <c r="H43" s="520">
        <v>4000</v>
      </c>
      <c r="I43" s="521" t="s">
        <v>427</v>
      </c>
    </row>
    <row r="44" spans="1:9" s="522" customFormat="1" ht="75" customHeight="1" x14ac:dyDescent="0.2">
      <c r="A44" s="766"/>
      <c r="B44" s="806"/>
      <c r="C44" s="754"/>
      <c r="D44" s="722"/>
      <c r="E44" s="710"/>
      <c r="F44" s="725"/>
      <c r="G44" s="802"/>
      <c r="H44" s="520">
        <v>4000</v>
      </c>
      <c r="I44" s="521" t="s">
        <v>428</v>
      </c>
    </row>
    <row r="45" spans="1:9" s="522" customFormat="1" ht="25.9" customHeight="1" x14ac:dyDescent="0.2">
      <c r="A45" s="795" t="s">
        <v>320</v>
      </c>
      <c r="B45" s="796"/>
      <c r="C45" s="508">
        <f>C43</f>
        <v>8000</v>
      </c>
      <c r="D45" s="556"/>
      <c r="E45" s="610">
        <f>E43</f>
        <v>8000</v>
      </c>
      <c r="F45" s="608"/>
      <c r="G45" s="544"/>
      <c r="H45" s="551">
        <f>SUM(H43:H44)</f>
        <v>8000</v>
      </c>
      <c r="I45" s="552"/>
    </row>
    <row r="46" spans="1:9" s="513" customFormat="1" ht="12.75" x14ac:dyDescent="0.2">
      <c r="A46" s="514" t="s">
        <v>60</v>
      </c>
      <c r="B46" s="515" t="s">
        <v>65</v>
      </c>
      <c r="C46" s="516"/>
      <c r="D46" s="517"/>
      <c r="E46" s="515"/>
      <c r="F46" s="518"/>
      <c r="G46" s="519"/>
      <c r="H46" s="518"/>
      <c r="I46" s="516"/>
    </row>
    <row r="47" spans="1:9" s="522" customFormat="1" ht="153" x14ac:dyDescent="0.2">
      <c r="A47" s="568" t="s">
        <v>44</v>
      </c>
      <c r="B47" s="611" t="s">
        <v>190</v>
      </c>
      <c r="C47" s="534">
        <f>[1]Кошторис_зкоригований!K85</f>
        <v>40000</v>
      </c>
      <c r="D47" s="567" t="s">
        <v>352</v>
      </c>
      <c r="E47" s="612">
        <f>C47</f>
        <v>40000</v>
      </c>
      <c r="F47" s="538" t="s">
        <v>353</v>
      </c>
      <c r="G47" s="558" t="s">
        <v>429</v>
      </c>
      <c r="H47" s="520">
        <v>40000</v>
      </c>
      <c r="I47" s="521" t="s">
        <v>430</v>
      </c>
    </row>
    <row r="48" spans="1:9" s="522" customFormat="1" ht="25.15" customHeight="1" x14ac:dyDescent="0.2">
      <c r="A48" s="803" t="s">
        <v>125</v>
      </c>
      <c r="B48" s="804"/>
      <c r="C48" s="508">
        <f>C47</f>
        <v>40000</v>
      </c>
      <c r="D48" s="556"/>
      <c r="E48" s="508">
        <f>E47</f>
        <v>40000</v>
      </c>
      <c r="F48" s="608"/>
      <c r="G48" s="544"/>
      <c r="H48" s="610">
        <f>H47</f>
        <v>40000</v>
      </c>
      <c r="I48" s="552"/>
    </row>
    <row r="49" spans="1:13" s="522" customFormat="1" ht="25.5" x14ac:dyDescent="0.2">
      <c r="A49" s="554" t="s">
        <v>128</v>
      </c>
      <c r="B49" s="617" t="s">
        <v>37</v>
      </c>
      <c r="C49" s="534"/>
      <c r="D49" s="618"/>
      <c r="E49" s="619"/>
      <c r="F49" s="620"/>
      <c r="G49" s="621"/>
      <c r="H49" s="520"/>
      <c r="I49" s="521"/>
    </row>
    <row r="50" spans="1:13" s="522" customFormat="1" ht="102" x14ac:dyDescent="0.2">
      <c r="A50" s="554" t="s">
        <v>44</v>
      </c>
      <c r="B50" s="611" t="s">
        <v>198</v>
      </c>
      <c r="C50" s="534">
        <f>[1]Кошторис_зкоригований!K103</f>
        <v>14000</v>
      </c>
      <c r="D50" s="555" t="s">
        <v>302</v>
      </c>
      <c r="E50" s="520">
        <f>C50</f>
        <v>14000</v>
      </c>
      <c r="F50" s="538" t="s">
        <v>478</v>
      </c>
      <c r="G50" s="539" t="s">
        <v>479</v>
      </c>
      <c r="H50" s="520">
        <v>14000</v>
      </c>
      <c r="I50" s="521" t="s">
        <v>431</v>
      </c>
    </row>
    <row r="51" spans="1:13" s="522" customFormat="1" ht="12.75" x14ac:dyDescent="0.2">
      <c r="A51" s="554" t="s">
        <v>129</v>
      </c>
      <c r="B51" s="617" t="s">
        <v>13</v>
      </c>
      <c r="C51" s="534"/>
      <c r="D51" s="622"/>
      <c r="E51" s="619"/>
      <c r="F51" s="620"/>
      <c r="G51" s="623"/>
      <c r="H51" s="520"/>
      <c r="I51" s="521"/>
    </row>
    <row r="52" spans="1:13" s="522" customFormat="1" ht="38.25" x14ac:dyDescent="0.2">
      <c r="A52" s="764" t="s">
        <v>44</v>
      </c>
      <c r="B52" s="805" t="s">
        <v>199</v>
      </c>
      <c r="C52" s="717">
        <f>[1]Кошторис_зкоригований!K109</f>
        <v>5000</v>
      </c>
      <c r="D52" s="807" t="s">
        <v>432</v>
      </c>
      <c r="E52" s="809">
        <f>H52+H53</f>
        <v>2101</v>
      </c>
      <c r="F52" s="723" t="s">
        <v>433</v>
      </c>
      <c r="G52" s="539" t="s">
        <v>434</v>
      </c>
      <c r="H52" s="520">
        <v>679</v>
      </c>
      <c r="I52" s="521"/>
    </row>
    <row r="53" spans="1:13" s="522" customFormat="1" ht="38.25" x14ac:dyDescent="0.2">
      <c r="A53" s="766"/>
      <c r="B53" s="806"/>
      <c r="C53" s="719"/>
      <c r="D53" s="808"/>
      <c r="E53" s="810"/>
      <c r="F53" s="725"/>
      <c r="G53" s="539" t="s">
        <v>435</v>
      </c>
      <c r="H53" s="520">
        <v>1422</v>
      </c>
      <c r="I53" s="521"/>
    </row>
    <row r="54" spans="1:13" s="522" customFormat="1" ht="226.15" customHeight="1" x14ac:dyDescent="0.2">
      <c r="A54" s="554" t="s">
        <v>45</v>
      </c>
      <c r="B54" s="611" t="s">
        <v>200</v>
      </c>
      <c r="C54" s="534">
        <f>[1]Кошторис_зкоригований!K110</f>
        <v>28800</v>
      </c>
      <c r="D54" s="567" t="s">
        <v>436</v>
      </c>
      <c r="E54" s="520">
        <v>48000</v>
      </c>
      <c r="F54" s="624" t="s">
        <v>437</v>
      </c>
      <c r="G54" s="625" t="s">
        <v>438</v>
      </c>
      <c r="H54" s="520">
        <v>48000</v>
      </c>
      <c r="I54" s="626" t="s">
        <v>439</v>
      </c>
    </row>
    <row r="55" spans="1:13" s="522" customFormat="1" ht="212.45" customHeight="1" x14ac:dyDescent="0.2">
      <c r="A55" s="554" t="s">
        <v>46</v>
      </c>
      <c r="B55" s="611" t="s">
        <v>201</v>
      </c>
      <c r="C55" s="534">
        <f>[1]Кошторис_зкоригований!K111</f>
        <v>28800</v>
      </c>
      <c r="D55" s="555" t="s">
        <v>436</v>
      </c>
      <c r="E55" s="520">
        <v>48000</v>
      </c>
      <c r="F55" s="624" t="s">
        <v>440</v>
      </c>
      <c r="G55" s="625" t="s">
        <v>441</v>
      </c>
      <c r="H55" s="520">
        <v>48000</v>
      </c>
      <c r="I55" s="521" t="s">
        <v>442</v>
      </c>
    </row>
    <row r="56" spans="1:13" s="522" customFormat="1" ht="51" x14ac:dyDescent="0.2">
      <c r="A56" s="554" t="s">
        <v>50</v>
      </c>
      <c r="B56" s="611" t="s">
        <v>204</v>
      </c>
      <c r="C56" s="534">
        <f>[1]Кошторис_зкоригований!K112</f>
        <v>35000</v>
      </c>
      <c r="D56" s="567" t="s">
        <v>443</v>
      </c>
      <c r="E56" s="619"/>
      <c r="F56" s="628" t="s">
        <v>480</v>
      </c>
      <c r="G56" s="627" t="s">
        <v>444</v>
      </c>
      <c r="H56" s="520"/>
      <c r="I56" s="521"/>
    </row>
    <row r="57" spans="1:13" s="522" customFormat="1" ht="51.75" customHeight="1" x14ac:dyDescent="0.2">
      <c r="A57" s="764" t="s">
        <v>52</v>
      </c>
      <c r="B57" s="714" t="s">
        <v>206</v>
      </c>
      <c r="C57" s="717">
        <f>[1]Кошторис_зкоригований!K114</f>
        <v>40000</v>
      </c>
      <c r="D57" s="720" t="s">
        <v>445</v>
      </c>
      <c r="E57" s="612">
        <v>20000</v>
      </c>
      <c r="F57" s="723" t="s">
        <v>481</v>
      </c>
      <c r="G57" s="811" t="s">
        <v>489</v>
      </c>
      <c r="H57" s="708">
        <v>40000</v>
      </c>
      <c r="I57" s="726" t="s">
        <v>446</v>
      </c>
      <c r="M57" s="658"/>
    </row>
    <row r="58" spans="1:13" s="522" customFormat="1" ht="48" hidden="1" customHeight="1" x14ac:dyDescent="0.2">
      <c r="A58" s="765"/>
      <c r="B58" s="715"/>
      <c r="C58" s="718"/>
      <c r="D58" s="721"/>
      <c r="E58" s="708">
        <v>20000</v>
      </c>
      <c r="F58" s="724"/>
      <c r="G58" s="812"/>
      <c r="H58" s="709"/>
      <c r="I58" s="727"/>
      <c r="M58" s="658"/>
    </row>
    <row r="59" spans="1:13" s="522" customFormat="1" ht="111" customHeight="1" x14ac:dyDescent="0.2">
      <c r="A59" s="766"/>
      <c r="B59" s="716"/>
      <c r="C59" s="719"/>
      <c r="D59" s="722"/>
      <c r="E59" s="710"/>
      <c r="F59" s="725"/>
      <c r="G59" s="659" t="s">
        <v>490</v>
      </c>
      <c r="H59" s="710"/>
      <c r="I59" s="728"/>
      <c r="M59" s="658"/>
    </row>
    <row r="60" spans="1:13" s="522" customFormat="1" ht="102" x14ac:dyDescent="0.2">
      <c r="A60" s="554" t="s">
        <v>53</v>
      </c>
      <c r="B60" s="611" t="s">
        <v>207</v>
      </c>
      <c r="C60" s="534">
        <f>[1]Кошторис_зкоригований!K115</f>
        <v>24000</v>
      </c>
      <c r="D60" s="629" t="s">
        <v>338</v>
      </c>
      <c r="E60" s="520">
        <f>C60</f>
        <v>24000</v>
      </c>
      <c r="F60" s="538" t="s">
        <v>447</v>
      </c>
      <c r="G60" s="558" t="s">
        <v>448</v>
      </c>
      <c r="H60" s="520">
        <v>24000</v>
      </c>
      <c r="I60" s="521" t="s">
        <v>449</v>
      </c>
    </row>
    <row r="61" spans="1:13" s="522" customFormat="1" ht="114.75" x14ac:dyDescent="0.2">
      <c r="A61" s="554" t="s">
        <v>54</v>
      </c>
      <c r="B61" s="611" t="s">
        <v>208</v>
      </c>
      <c r="C61" s="534">
        <f>[1]Кошторис_зкоригований!K116</f>
        <v>25000</v>
      </c>
      <c r="D61" s="555" t="s">
        <v>306</v>
      </c>
      <c r="E61" s="520">
        <v>25000</v>
      </c>
      <c r="F61" s="538" t="s">
        <v>482</v>
      </c>
      <c r="G61" s="558" t="s">
        <v>450</v>
      </c>
      <c r="H61" s="520">
        <v>25000</v>
      </c>
      <c r="I61" s="521" t="s">
        <v>451</v>
      </c>
    </row>
    <row r="62" spans="1:13" s="522" customFormat="1" ht="113.45" customHeight="1" x14ac:dyDescent="0.2">
      <c r="A62" s="554" t="s">
        <v>212</v>
      </c>
      <c r="B62" s="611" t="s">
        <v>209</v>
      </c>
      <c r="C62" s="534">
        <f>[1]Кошторис_зкоригований!K117</f>
        <v>30000</v>
      </c>
      <c r="D62" s="629" t="s">
        <v>338</v>
      </c>
      <c r="E62" s="612">
        <f>C62</f>
        <v>30000</v>
      </c>
      <c r="F62" s="538" t="s">
        <v>452</v>
      </c>
      <c r="G62" s="558" t="s">
        <v>453</v>
      </c>
      <c r="H62" s="520">
        <v>30000</v>
      </c>
      <c r="I62" s="521" t="s">
        <v>454</v>
      </c>
    </row>
    <row r="63" spans="1:13" s="522" customFormat="1" ht="204" x14ac:dyDescent="0.2">
      <c r="A63" s="554" t="s">
        <v>175</v>
      </c>
      <c r="B63" s="611" t="s">
        <v>210</v>
      </c>
      <c r="C63" s="534">
        <f>[1]Кошторис_зкоригований!K118</f>
        <v>30000</v>
      </c>
      <c r="D63" s="562" t="s">
        <v>317</v>
      </c>
      <c r="E63" s="612">
        <f>C63</f>
        <v>30000</v>
      </c>
      <c r="F63" s="538" t="s">
        <v>385</v>
      </c>
      <c r="G63" s="558" t="s">
        <v>386</v>
      </c>
      <c r="H63" s="520">
        <v>30000</v>
      </c>
      <c r="I63" s="521" t="s">
        <v>455</v>
      </c>
    </row>
    <row r="64" spans="1:13" s="522" customFormat="1" ht="115.9" customHeight="1" x14ac:dyDescent="0.2">
      <c r="A64" s="554" t="s">
        <v>176</v>
      </c>
      <c r="B64" s="611" t="s">
        <v>211</v>
      </c>
      <c r="C64" s="534">
        <f>[1]Кошторис_зкоригований!K119</f>
        <v>20000</v>
      </c>
      <c r="D64" s="555" t="s">
        <v>390</v>
      </c>
      <c r="E64" s="612">
        <f>C64</f>
        <v>20000</v>
      </c>
      <c r="F64" s="538" t="s">
        <v>391</v>
      </c>
      <c r="G64" s="558" t="s">
        <v>392</v>
      </c>
      <c r="H64" s="520">
        <v>20000</v>
      </c>
      <c r="I64" s="521" t="s">
        <v>456</v>
      </c>
    </row>
    <row r="65" spans="1:9" s="522" customFormat="1" ht="28.15" customHeight="1" x14ac:dyDescent="0.2">
      <c r="A65" s="795" t="s">
        <v>130</v>
      </c>
      <c r="B65" s="796"/>
      <c r="C65" s="569">
        <f>SUM(C50:C64)</f>
        <v>280600</v>
      </c>
      <c r="D65" s="556"/>
      <c r="E65" s="630">
        <f>SUM(E50:E64)</f>
        <v>281101</v>
      </c>
      <c r="F65" s="608"/>
      <c r="G65" s="544"/>
      <c r="H65" s="630">
        <f>SUM(H50:H64)</f>
        <v>281101</v>
      </c>
      <c r="I65" s="552"/>
    </row>
    <row r="66" spans="1:9" s="583" customFormat="1" ht="45.6" customHeight="1" x14ac:dyDescent="0.2">
      <c r="A66" s="631"/>
      <c r="B66" s="632"/>
      <c r="C66" s="579"/>
      <c r="D66" s="580"/>
      <c r="E66" s="633"/>
      <c r="F66" s="797" t="s">
        <v>457</v>
      </c>
      <c r="G66" s="798"/>
      <c r="H66" s="633"/>
      <c r="I66" s="582"/>
    </row>
    <row r="67" spans="1:9" s="583" customFormat="1" ht="45.6" customHeight="1" x14ac:dyDescent="0.2">
      <c r="A67" s="631"/>
      <c r="B67" s="632"/>
      <c r="C67" s="579"/>
      <c r="D67" s="580"/>
      <c r="E67" s="633"/>
      <c r="F67" s="745" t="s">
        <v>458</v>
      </c>
      <c r="G67" s="746"/>
      <c r="H67" s="633"/>
      <c r="I67" s="582"/>
    </row>
    <row r="68" spans="1:9" s="640" customFormat="1" ht="13.5" thickBot="1" x14ac:dyDescent="0.25">
      <c r="A68" s="799" t="s">
        <v>147</v>
      </c>
      <c r="B68" s="800"/>
      <c r="C68" s="634">
        <f>SUM(C65,C48,C45,C41,C36,C33,C26)</f>
        <v>558540</v>
      </c>
      <c r="D68" s="635"/>
      <c r="E68" s="636">
        <f>SUM(E65,E48,E45,E41,E36,E33,E26)</f>
        <v>571261.42999999993</v>
      </c>
      <c r="F68" s="637"/>
      <c r="G68" s="638"/>
      <c r="H68" s="636">
        <f>SUM(H65,H48,H45,H41,H36,H33,H26)</f>
        <v>571261.42999999993</v>
      </c>
      <c r="I68" s="639"/>
    </row>
    <row r="69" spans="1:9" s="644" customFormat="1" ht="12.75" x14ac:dyDescent="0.2">
      <c r="A69" s="641"/>
      <c r="B69" s="642"/>
      <c r="C69" s="643"/>
      <c r="E69" s="645"/>
      <c r="G69" s="646"/>
      <c r="H69" s="643"/>
      <c r="I69" s="647"/>
    </row>
    <row r="70" spans="1:9" s="644" customFormat="1" ht="12.75" x14ac:dyDescent="0.2">
      <c r="A70" s="641"/>
      <c r="B70" s="642"/>
      <c r="C70" s="643"/>
      <c r="E70" s="645"/>
      <c r="G70" s="646"/>
      <c r="H70" s="643"/>
      <c r="I70" s="647"/>
    </row>
    <row r="71" spans="1:9" s="644" customFormat="1" ht="12.75" x14ac:dyDescent="0.2">
      <c r="A71" s="641"/>
      <c r="B71" s="642"/>
      <c r="C71" s="643"/>
      <c r="E71" s="645"/>
      <c r="G71" s="646"/>
      <c r="H71" s="643"/>
      <c r="I71" s="647"/>
    </row>
    <row r="72" spans="1:9" s="644" customFormat="1" ht="12.75" x14ac:dyDescent="0.2">
      <c r="A72" s="641"/>
      <c r="B72" s="642"/>
      <c r="C72" s="643"/>
      <c r="E72" s="645"/>
      <c r="G72" s="646"/>
      <c r="H72" s="643"/>
      <c r="I72" s="647"/>
    </row>
    <row r="73" spans="1:9" s="644" customFormat="1" ht="12.75" x14ac:dyDescent="0.2">
      <c r="A73" s="641"/>
      <c r="B73" s="642"/>
      <c r="C73" s="643"/>
      <c r="E73" s="645"/>
      <c r="G73" s="646"/>
      <c r="H73" s="643"/>
      <c r="I73" s="647"/>
    </row>
    <row r="74" spans="1:9" s="644" customFormat="1" ht="12.75" x14ac:dyDescent="0.2">
      <c r="A74" s="641"/>
      <c r="B74" s="642"/>
      <c r="C74" s="643"/>
      <c r="E74" s="645"/>
      <c r="G74" s="646"/>
      <c r="H74" s="645"/>
      <c r="I74" s="647"/>
    </row>
    <row r="75" spans="1:9" s="644" customFormat="1" ht="12.75" x14ac:dyDescent="0.2">
      <c r="A75" s="641"/>
      <c r="B75" s="642"/>
      <c r="C75" s="643"/>
      <c r="E75" s="645"/>
      <c r="G75" s="646"/>
      <c r="H75" s="643"/>
      <c r="I75" s="647"/>
    </row>
    <row r="76" spans="1:9" s="644" customFormat="1" ht="12.75" x14ac:dyDescent="0.2">
      <c r="A76" s="641"/>
      <c r="B76" s="642"/>
      <c r="C76" s="643"/>
      <c r="E76" s="645"/>
      <c r="G76" s="646"/>
      <c r="H76" s="643"/>
      <c r="I76" s="647"/>
    </row>
    <row r="77" spans="1:9" s="644" customFormat="1" ht="12.75" x14ac:dyDescent="0.2">
      <c r="A77" s="641"/>
      <c r="B77" s="642"/>
      <c r="C77" s="643"/>
      <c r="E77" s="645"/>
      <c r="G77" s="646"/>
      <c r="H77" s="643"/>
      <c r="I77" s="647"/>
    </row>
    <row r="78" spans="1:9" s="644" customFormat="1" ht="12.75" x14ac:dyDescent="0.2">
      <c r="A78" s="641"/>
      <c r="B78" s="642"/>
      <c r="C78" s="643"/>
      <c r="E78" s="645"/>
      <c r="G78" s="646"/>
      <c r="H78" s="643"/>
      <c r="I78" s="647"/>
    </row>
    <row r="79" spans="1:9" s="644" customFormat="1" ht="12.75" x14ac:dyDescent="0.2">
      <c r="A79" s="641"/>
      <c r="B79" s="642"/>
      <c r="C79" s="643"/>
      <c r="E79" s="645"/>
      <c r="G79" s="646"/>
      <c r="H79" s="643"/>
      <c r="I79" s="647"/>
    </row>
    <row r="80" spans="1:9" s="644" customFormat="1" ht="12.75" x14ac:dyDescent="0.2">
      <c r="A80" s="641"/>
      <c r="B80" s="642"/>
      <c r="C80" s="643"/>
      <c r="E80" s="645"/>
      <c r="G80" s="646"/>
      <c r="H80" s="643"/>
      <c r="I80" s="647"/>
    </row>
    <row r="81" spans="1:9" s="644" customFormat="1" ht="12.75" x14ac:dyDescent="0.2">
      <c r="A81" s="641"/>
      <c r="B81" s="642"/>
      <c r="C81" s="643"/>
      <c r="E81" s="645"/>
      <c r="G81" s="646"/>
      <c r="H81" s="643"/>
      <c r="I81" s="647"/>
    </row>
    <row r="82" spans="1:9" s="644" customFormat="1" ht="12.75" x14ac:dyDescent="0.2">
      <c r="A82" s="641"/>
      <c r="B82" s="642"/>
      <c r="C82" s="643"/>
      <c r="E82" s="645"/>
      <c r="G82" s="646"/>
      <c r="H82" s="643"/>
      <c r="I82" s="647"/>
    </row>
    <row r="83" spans="1:9" s="644" customFormat="1" ht="12.75" x14ac:dyDescent="0.2">
      <c r="A83" s="641"/>
      <c r="B83" s="642"/>
      <c r="C83" s="643"/>
      <c r="E83" s="645"/>
      <c r="G83" s="646"/>
      <c r="H83" s="643"/>
      <c r="I83" s="647"/>
    </row>
    <row r="84" spans="1:9" s="644" customFormat="1" ht="12.75" x14ac:dyDescent="0.2">
      <c r="A84" s="641"/>
      <c r="B84" s="642"/>
      <c r="C84" s="643"/>
      <c r="E84" s="645"/>
      <c r="G84" s="646"/>
      <c r="H84" s="643"/>
      <c r="I84" s="647"/>
    </row>
    <row r="85" spans="1:9" s="644" customFormat="1" ht="12.75" x14ac:dyDescent="0.2">
      <c r="A85" s="641"/>
      <c r="B85" s="642"/>
      <c r="C85" s="643"/>
      <c r="E85" s="645"/>
      <c r="G85" s="646"/>
      <c r="H85" s="643"/>
      <c r="I85" s="647"/>
    </row>
    <row r="86" spans="1:9" s="644" customFormat="1" ht="12.75" x14ac:dyDescent="0.2">
      <c r="A86" s="641"/>
      <c r="B86" s="642"/>
      <c r="C86" s="643"/>
      <c r="E86" s="645"/>
      <c r="G86" s="646"/>
      <c r="H86" s="643"/>
      <c r="I86" s="647"/>
    </row>
    <row r="87" spans="1:9" s="644" customFormat="1" ht="12.75" x14ac:dyDescent="0.2">
      <c r="A87" s="641"/>
      <c r="B87" s="642"/>
      <c r="C87" s="643"/>
      <c r="E87" s="645"/>
      <c r="G87" s="646"/>
      <c r="H87" s="643"/>
      <c r="I87" s="647"/>
    </row>
    <row r="88" spans="1:9" s="644" customFormat="1" ht="12.75" x14ac:dyDescent="0.2">
      <c r="A88" s="641"/>
      <c r="B88" s="642"/>
      <c r="C88" s="643"/>
      <c r="E88" s="645"/>
      <c r="G88" s="646"/>
      <c r="H88" s="643"/>
      <c r="I88" s="647"/>
    </row>
    <row r="89" spans="1:9" s="644" customFormat="1" ht="12.75" x14ac:dyDescent="0.2">
      <c r="A89" s="641"/>
      <c r="B89" s="642"/>
      <c r="C89" s="643"/>
      <c r="E89" s="645"/>
      <c r="G89" s="646"/>
      <c r="H89" s="643"/>
      <c r="I89" s="647"/>
    </row>
    <row r="90" spans="1:9" s="644" customFormat="1" ht="12.75" x14ac:dyDescent="0.2">
      <c r="A90" s="641"/>
      <c r="B90" s="642"/>
      <c r="C90" s="643"/>
      <c r="E90" s="645"/>
      <c r="G90" s="646"/>
      <c r="H90" s="643"/>
      <c r="I90" s="647"/>
    </row>
    <row r="91" spans="1:9" s="644" customFormat="1" ht="12.75" x14ac:dyDescent="0.2">
      <c r="A91" s="641"/>
      <c r="B91" s="642"/>
      <c r="C91" s="643"/>
      <c r="E91" s="645"/>
      <c r="G91" s="646"/>
      <c r="H91" s="643"/>
      <c r="I91" s="647"/>
    </row>
    <row r="92" spans="1:9" s="644" customFormat="1" ht="12.75" x14ac:dyDescent="0.2">
      <c r="A92" s="641"/>
      <c r="B92" s="642"/>
      <c r="C92" s="643"/>
      <c r="E92" s="645"/>
      <c r="G92" s="646"/>
      <c r="H92" s="643"/>
      <c r="I92" s="647"/>
    </row>
    <row r="93" spans="1:9" s="644" customFormat="1" ht="12.75" x14ac:dyDescent="0.2">
      <c r="A93" s="641"/>
      <c r="B93" s="642"/>
      <c r="C93" s="643"/>
      <c r="E93" s="645"/>
      <c r="G93" s="646"/>
      <c r="H93" s="643"/>
      <c r="I93" s="647"/>
    </row>
    <row r="94" spans="1:9" s="644" customFormat="1" ht="12.75" x14ac:dyDescent="0.2">
      <c r="A94" s="641"/>
      <c r="B94" s="642"/>
      <c r="C94" s="643"/>
      <c r="E94" s="645"/>
      <c r="G94" s="646"/>
      <c r="H94" s="643"/>
      <c r="I94" s="647"/>
    </row>
    <row r="95" spans="1:9" s="644" customFormat="1" ht="12.75" x14ac:dyDescent="0.2">
      <c r="A95" s="641"/>
      <c r="B95" s="642"/>
      <c r="C95" s="643"/>
      <c r="E95" s="645"/>
      <c r="G95" s="646"/>
      <c r="H95" s="643"/>
      <c r="I95" s="647"/>
    </row>
    <row r="96" spans="1:9" s="644" customFormat="1" ht="12.75" x14ac:dyDescent="0.2">
      <c r="A96" s="641"/>
      <c r="B96" s="642"/>
      <c r="C96" s="643"/>
      <c r="E96" s="645"/>
      <c r="G96" s="646"/>
      <c r="H96" s="643"/>
      <c r="I96" s="647"/>
    </row>
    <row r="97" spans="1:9" s="644" customFormat="1" ht="12.75" x14ac:dyDescent="0.2">
      <c r="A97" s="641"/>
      <c r="B97" s="642"/>
      <c r="C97" s="643"/>
      <c r="E97" s="645"/>
      <c r="G97" s="646"/>
      <c r="H97" s="643"/>
      <c r="I97" s="647"/>
    </row>
    <row r="98" spans="1:9" s="644" customFormat="1" ht="12.75" x14ac:dyDescent="0.2">
      <c r="A98" s="641"/>
      <c r="B98" s="642"/>
      <c r="C98" s="643"/>
      <c r="E98" s="645"/>
      <c r="G98" s="646"/>
      <c r="H98" s="643"/>
      <c r="I98" s="647"/>
    </row>
    <row r="99" spans="1:9" s="644" customFormat="1" ht="12.75" x14ac:dyDescent="0.2">
      <c r="A99" s="641"/>
      <c r="B99" s="642"/>
      <c r="C99" s="643"/>
      <c r="E99" s="645"/>
      <c r="G99" s="646"/>
      <c r="H99" s="643"/>
      <c r="I99" s="647"/>
    </row>
    <row r="100" spans="1:9" s="644" customFormat="1" ht="12.75" x14ac:dyDescent="0.2">
      <c r="A100" s="641"/>
      <c r="B100" s="642"/>
      <c r="C100" s="643"/>
      <c r="E100" s="645"/>
      <c r="G100" s="646"/>
      <c r="H100" s="643"/>
      <c r="I100" s="647"/>
    </row>
    <row r="101" spans="1:9" s="644" customFormat="1" ht="12.75" x14ac:dyDescent="0.2">
      <c r="A101" s="641"/>
      <c r="B101" s="642"/>
      <c r="C101" s="643"/>
      <c r="E101" s="645"/>
      <c r="G101" s="646"/>
      <c r="H101" s="643"/>
      <c r="I101" s="647"/>
    </row>
    <row r="102" spans="1:9" s="644" customFormat="1" ht="12.75" x14ac:dyDescent="0.2">
      <c r="A102" s="641"/>
      <c r="B102" s="642"/>
      <c r="C102" s="643"/>
      <c r="E102" s="645"/>
      <c r="G102" s="646"/>
      <c r="H102" s="643"/>
      <c r="I102" s="647"/>
    </row>
    <row r="103" spans="1:9" s="644" customFormat="1" ht="12.75" x14ac:dyDescent="0.2">
      <c r="A103" s="641"/>
      <c r="B103" s="642"/>
      <c r="C103" s="643"/>
      <c r="E103" s="645"/>
      <c r="G103" s="646"/>
      <c r="H103" s="643"/>
      <c r="I103" s="647"/>
    </row>
    <row r="104" spans="1:9" s="644" customFormat="1" ht="12.75" x14ac:dyDescent="0.2">
      <c r="A104" s="641"/>
      <c r="B104" s="642"/>
      <c r="C104" s="643"/>
      <c r="E104" s="645"/>
      <c r="G104" s="646"/>
      <c r="H104" s="643"/>
      <c r="I104" s="647"/>
    </row>
    <row r="105" spans="1:9" s="644" customFormat="1" ht="12.75" x14ac:dyDescent="0.2">
      <c r="A105" s="641"/>
      <c r="B105" s="642"/>
      <c r="C105" s="643"/>
      <c r="E105" s="645"/>
      <c r="G105" s="646"/>
      <c r="H105" s="643"/>
      <c r="I105" s="647"/>
    </row>
    <row r="106" spans="1:9" s="644" customFormat="1" ht="12.75" x14ac:dyDescent="0.2">
      <c r="A106" s="641"/>
      <c r="B106" s="642"/>
      <c r="C106" s="643"/>
      <c r="E106" s="645"/>
      <c r="G106" s="646"/>
      <c r="H106" s="643"/>
      <c r="I106" s="647"/>
    </row>
    <row r="107" spans="1:9" s="644" customFormat="1" ht="12.75" x14ac:dyDescent="0.2">
      <c r="A107" s="641"/>
      <c r="B107" s="642"/>
      <c r="C107" s="643"/>
      <c r="E107" s="645"/>
      <c r="G107" s="646"/>
      <c r="H107" s="643"/>
      <c r="I107" s="647"/>
    </row>
    <row r="108" spans="1:9" s="644" customFormat="1" ht="12.75" x14ac:dyDescent="0.2">
      <c r="A108" s="641"/>
      <c r="B108" s="642"/>
      <c r="C108" s="643"/>
      <c r="E108" s="645"/>
      <c r="G108" s="646"/>
      <c r="H108" s="643"/>
      <c r="I108" s="647"/>
    </row>
    <row r="109" spans="1:9" s="644" customFormat="1" ht="12.75" x14ac:dyDescent="0.2">
      <c r="A109" s="641"/>
      <c r="B109" s="642"/>
      <c r="C109" s="643"/>
      <c r="E109" s="645"/>
      <c r="G109" s="646"/>
      <c r="H109" s="643"/>
      <c r="I109" s="647"/>
    </row>
    <row r="110" spans="1:9" s="644" customFormat="1" ht="12.75" x14ac:dyDescent="0.2">
      <c r="A110" s="641"/>
      <c r="B110" s="642"/>
      <c r="C110" s="643"/>
      <c r="E110" s="645"/>
      <c r="G110" s="646"/>
      <c r="H110" s="643"/>
      <c r="I110" s="647"/>
    </row>
    <row r="111" spans="1:9" s="644" customFormat="1" ht="12.75" x14ac:dyDescent="0.2">
      <c r="A111" s="641"/>
      <c r="B111" s="642"/>
      <c r="C111" s="643"/>
      <c r="E111" s="645"/>
      <c r="G111" s="646"/>
      <c r="H111" s="643"/>
      <c r="I111" s="647"/>
    </row>
    <row r="112" spans="1:9" s="644" customFormat="1" ht="12.75" x14ac:dyDescent="0.2">
      <c r="A112" s="641"/>
      <c r="B112" s="642"/>
      <c r="C112" s="643"/>
      <c r="E112" s="645"/>
      <c r="G112" s="646"/>
      <c r="H112" s="643"/>
      <c r="I112" s="647"/>
    </row>
    <row r="113" spans="1:9" s="644" customFormat="1" ht="12.75" x14ac:dyDescent="0.2">
      <c r="A113" s="641"/>
      <c r="B113" s="642"/>
      <c r="C113" s="643"/>
      <c r="E113" s="645"/>
      <c r="G113" s="646"/>
      <c r="H113" s="643"/>
      <c r="I113" s="647"/>
    </row>
    <row r="114" spans="1:9" s="644" customFormat="1" ht="12.75" x14ac:dyDescent="0.2">
      <c r="A114" s="641"/>
      <c r="B114" s="642"/>
      <c r="C114" s="643"/>
      <c r="E114" s="645"/>
      <c r="G114" s="646"/>
      <c r="H114" s="643"/>
      <c r="I114" s="647"/>
    </row>
    <row r="115" spans="1:9" s="644" customFormat="1" ht="12.75" x14ac:dyDescent="0.2">
      <c r="A115" s="641"/>
      <c r="B115" s="642"/>
      <c r="C115" s="643"/>
      <c r="E115" s="645"/>
      <c r="G115" s="646"/>
      <c r="H115" s="643"/>
      <c r="I115" s="647"/>
    </row>
    <row r="116" spans="1:9" s="644" customFormat="1" ht="12.75" x14ac:dyDescent="0.2">
      <c r="A116" s="641"/>
      <c r="B116" s="642"/>
      <c r="C116" s="643"/>
      <c r="E116" s="645"/>
      <c r="G116" s="646"/>
      <c r="H116" s="643"/>
      <c r="I116" s="647"/>
    </row>
    <row r="117" spans="1:9" s="644" customFormat="1" ht="12.75" x14ac:dyDescent="0.2">
      <c r="A117" s="641"/>
      <c r="B117" s="642"/>
      <c r="C117" s="643"/>
      <c r="E117" s="645"/>
      <c r="G117" s="646"/>
      <c r="H117" s="643"/>
      <c r="I117" s="647"/>
    </row>
    <row r="118" spans="1:9" s="644" customFormat="1" ht="12.75" x14ac:dyDescent="0.2">
      <c r="A118" s="641"/>
      <c r="B118" s="642"/>
      <c r="C118" s="643"/>
      <c r="E118" s="645"/>
      <c r="G118" s="646"/>
      <c r="H118" s="643"/>
      <c r="I118" s="647"/>
    </row>
    <row r="119" spans="1:9" s="644" customFormat="1" ht="12.75" x14ac:dyDescent="0.2">
      <c r="A119" s="641"/>
      <c r="B119" s="642"/>
      <c r="C119" s="643"/>
      <c r="E119" s="645"/>
      <c r="G119" s="646"/>
      <c r="H119" s="643"/>
      <c r="I119" s="647"/>
    </row>
    <row r="120" spans="1:9" s="644" customFormat="1" ht="12.75" x14ac:dyDescent="0.2">
      <c r="A120" s="641"/>
      <c r="B120" s="642"/>
      <c r="C120" s="643"/>
      <c r="E120" s="645"/>
      <c r="G120" s="646"/>
      <c r="H120" s="643"/>
      <c r="I120" s="647"/>
    </row>
    <row r="121" spans="1:9" s="644" customFormat="1" ht="12.75" x14ac:dyDescent="0.2">
      <c r="A121" s="641"/>
      <c r="B121" s="642"/>
      <c r="C121" s="643"/>
      <c r="E121" s="645"/>
      <c r="G121" s="646"/>
      <c r="H121" s="643"/>
      <c r="I121" s="647"/>
    </row>
    <row r="122" spans="1:9" s="644" customFormat="1" ht="12.75" x14ac:dyDescent="0.2">
      <c r="A122" s="641"/>
      <c r="B122" s="642"/>
      <c r="C122" s="643"/>
      <c r="E122" s="645"/>
      <c r="G122" s="646"/>
      <c r="H122" s="643"/>
      <c r="I122" s="647"/>
    </row>
    <row r="123" spans="1:9" s="644" customFormat="1" ht="12.75" x14ac:dyDescent="0.2">
      <c r="A123" s="641"/>
      <c r="B123" s="642"/>
      <c r="C123" s="643"/>
      <c r="E123" s="645"/>
      <c r="G123" s="646"/>
      <c r="H123" s="643"/>
      <c r="I123" s="647"/>
    </row>
    <row r="124" spans="1:9" s="644" customFormat="1" ht="12.75" x14ac:dyDescent="0.2">
      <c r="A124" s="641"/>
      <c r="B124" s="642"/>
      <c r="C124" s="643"/>
      <c r="E124" s="645"/>
      <c r="G124" s="646"/>
      <c r="H124" s="643"/>
      <c r="I124" s="647"/>
    </row>
    <row r="125" spans="1:9" s="644" customFormat="1" ht="12.75" x14ac:dyDescent="0.2">
      <c r="A125" s="641"/>
      <c r="B125" s="642"/>
      <c r="C125" s="643"/>
      <c r="E125" s="645"/>
      <c r="G125" s="646"/>
      <c r="H125" s="643"/>
      <c r="I125" s="647"/>
    </row>
    <row r="126" spans="1:9" s="644" customFormat="1" ht="12.75" x14ac:dyDescent="0.2">
      <c r="A126" s="641"/>
      <c r="B126" s="642"/>
      <c r="C126" s="643"/>
      <c r="E126" s="645"/>
      <c r="G126" s="646"/>
      <c r="H126" s="643"/>
      <c r="I126" s="647"/>
    </row>
    <row r="127" spans="1:9" s="644" customFormat="1" ht="12.75" x14ac:dyDescent="0.2">
      <c r="A127" s="641"/>
      <c r="B127" s="642"/>
      <c r="C127" s="643"/>
      <c r="E127" s="645"/>
      <c r="G127" s="646"/>
      <c r="H127" s="643"/>
      <c r="I127" s="647"/>
    </row>
    <row r="128" spans="1:9" s="644" customFormat="1" ht="12.75" x14ac:dyDescent="0.2">
      <c r="A128" s="641"/>
      <c r="B128" s="642"/>
      <c r="C128" s="643"/>
      <c r="E128" s="645"/>
      <c r="G128" s="646"/>
      <c r="H128" s="643"/>
      <c r="I128" s="647"/>
    </row>
    <row r="129" spans="1:9" s="644" customFormat="1" ht="12.75" x14ac:dyDescent="0.2">
      <c r="A129" s="641"/>
      <c r="B129" s="642"/>
      <c r="C129" s="643"/>
      <c r="E129" s="645"/>
      <c r="G129" s="646"/>
      <c r="H129" s="643"/>
      <c r="I129" s="647"/>
    </row>
    <row r="130" spans="1:9" s="644" customFormat="1" ht="12.75" x14ac:dyDescent="0.2">
      <c r="A130" s="641"/>
      <c r="B130" s="642"/>
      <c r="C130" s="643"/>
      <c r="E130" s="645"/>
      <c r="G130" s="646"/>
      <c r="H130" s="643"/>
      <c r="I130" s="647"/>
    </row>
    <row r="131" spans="1:9" s="644" customFormat="1" ht="12.75" x14ac:dyDescent="0.2">
      <c r="A131" s="641"/>
      <c r="B131" s="642"/>
      <c r="C131" s="643"/>
      <c r="E131" s="645"/>
      <c r="G131" s="646"/>
      <c r="H131" s="643"/>
      <c r="I131" s="647"/>
    </row>
    <row r="132" spans="1:9" s="644" customFormat="1" ht="12.75" x14ac:dyDescent="0.2">
      <c r="A132" s="641"/>
      <c r="B132" s="642"/>
      <c r="C132" s="643"/>
      <c r="E132" s="645"/>
      <c r="G132" s="646"/>
      <c r="H132" s="643"/>
      <c r="I132" s="647"/>
    </row>
    <row r="133" spans="1:9" s="644" customFormat="1" ht="12.75" x14ac:dyDescent="0.2">
      <c r="A133" s="641"/>
      <c r="B133" s="642"/>
      <c r="C133" s="643"/>
      <c r="E133" s="645"/>
      <c r="G133" s="646"/>
      <c r="H133" s="643"/>
      <c r="I133" s="647"/>
    </row>
    <row r="134" spans="1:9" s="644" customFormat="1" ht="12.75" x14ac:dyDescent="0.2">
      <c r="A134" s="641"/>
      <c r="B134" s="642"/>
      <c r="C134" s="643"/>
      <c r="E134" s="645"/>
      <c r="G134" s="646"/>
      <c r="H134" s="643"/>
      <c r="I134" s="647"/>
    </row>
    <row r="135" spans="1:9" s="644" customFormat="1" ht="12.75" x14ac:dyDescent="0.2">
      <c r="A135" s="641"/>
      <c r="B135" s="642"/>
      <c r="C135" s="643"/>
      <c r="E135" s="645"/>
      <c r="G135" s="646"/>
      <c r="H135" s="643"/>
      <c r="I135" s="647"/>
    </row>
    <row r="136" spans="1:9" s="644" customFormat="1" ht="12.75" x14ac:dyDescent="0.2">
      <c r="A136" s="641"/>
      <c r="B136" s="642"/>
      <c r="C136" s="643"/>
      <c r="E136" s="645"/>
      <c r="G136" s="646"/>
      <c r="H136" s="643"/>
      <c r="I136" s="647"/>
    </row>
    <row r="137" spans="1:9" s="644" customFormat="1" ht="12.75" x14ac:dyDescent="0.2">
      <c r="A137" s="641"/>
      <c r="B137" s="642"/>
      <c r="C137" s="643"/>
      <c r="E137" s="645"/>
      <c r="G137" s="646"/>
      <c r="H137" s="643"/>
      <c r="I137" s="647"/>
    </row>
    <row r="138" spans="1:9" s="644" customFormat="1" ht="12.75" x14ac:dyDescent="0.2">
      <c r="A138" s="641"/>
      <c r="B138" s="642"/>
      <c r="C138" s="643"/>
      <c r="E138" s="645"/>
      <c r="G138" s="646"/>
      <c r="H138" s="643"/>
      <c r="I138" s="647"/>
    </row>
    <row r="139" spans="1:9" s="644" customFormat="1" ht="12.75" x14ac:dyDescent="0.2">
      <c r="A139" s="641"/>
      <c r="B139" s="642"/>
      <c r="C139" s="643"/>
      <c r="E139" s="645"/>
      <c r="G139" s="646"/>
      <c r="H139" s="643"/>
      <c r="I139" s="647"/>
    </row>
    <row r="140" spans="1:9" s="594" customFormat="1" ht="12.75" x14ac:dyDescent="0.2">
      <c r="A140" s="591"/>
      <c r="B140" s="648"/>
      <c r="C140" s="593"/>
      <c r="E140" s="649"/>
      <c r="G140" s="596"/>
      <c r="H140" s="593"/>
      <c r="I140" s="597"/>
    </row>
    <row r="141" spans="1:9" s="594" customFormat="1" ht="12.75" x14ac:dyDescent="0.2">
      <c r="A141" s="591"/>
      <c r="B141" s="648"/>
      <c r="C141" s="593"/>
      <c r="E141" s="649"/>
      <c r="G141" s="596"/>
      <c r="H141" s="593"/>
      <c r="I141" s="597"/>
    </row>
    <row r="142" spans="1:9" s="594" customFormat="1" ht="12.75" x14ac:dyDescent="0.2">
      <c r="A142" s="591"/>
      <c r="B142" s="648"/>
      <c r="C142" s="593"/>
      <c r="E142" s="649"/>
      <c r="G142" s="596"/>
      <c r="H142" s="593"/>
      <c r="I142" s="597"/>
    </row>
    <row r="143" spans="1:9" s="594" customFormat="1" ht="12.75" x14ac:dyDescent="0.2">
      <c r="A143" s="591"/>
      <c r="B143" s="648"/>
      <c r="C143" s="593"/>
      <c r="E143" s="649"/>
      <c r="G143" s="596"/>
      <c r="H143" s="593"/>
      <c r="I143" s="597"/>
    </row>
    <row r="144" spans="1:9" s="594" customFormat="1" ht="12.75" x14ac:dyDescent="0.2">
      <c r="A144" s="591"/>
      <c r="B144" s="648"/>
      <c r="C144" s="593"/>
      <c r="E144" s="649"/>
      <c r="G144" s="596"/>
      <c r="H144" s="593"/>
      <c r="I144" s="597"/>
    </row>
    <row r="145" spans="1:9" s="594" customFormat="1" ht="12.75" x14ac:dyDescent="0.2">
      <c r="A145" s="591"/>
      <c r="B145" s="648"/>
      <c r="C145" s="593"/>
      <c r="E145" s="649"/>
      <c r="G145" s="596"/>
      <c r="H145" s="593"/>
      <c r="I145" s="597"/>
    </row>
    <row r="146" spans="1:9" s="594" customFormat="1" ht="12.75" x14ac:dyDescent="0.2">
      <c r="A146" s="591"/>
      <c r="B146" s="648"/>
      <c r="C146" s="593"/>
      <c r="E146" s="649"/>
      <c r="G146" s="596"/>
      <c r="H146" s="593"/>
      <c r="I146" s="597"/>
    </row>
    <row r="147" spans="1:9" s="594" customFormat="1" ht="12.75" x14ac:dyDescent="0.2">
      <c r="A147" s="591"/>
      <c r="B147" s="648"/>
      <c r="C147" s="593"/>
      <c r="E147" s="649"/>
      <c r="G147" s="596"/>
      <c r="H147" s="593"/>
      <c r="I147" s="597"/>
    </row>
    <row r="148" spans="1:9" s="594" customFormat="1" ht="12.75" x14ac:dyDescent="0.2">
      <c r="A148" s="591"/>
      <c r="B148" s="648"/>
      <c r="C148" s="593"/>
      <c r="E148" s="649"/>
      <c r="G148" s="596"/>
      <c r="H148" s="593"/>
      <c r="I148" s="597"/>
    </row>
    <row r="149" spans="1:9" s="594" customFormat="1" ht="12.75" x14ac:dyDescent="0.2">
      <c r="A149" s="591"/>
      <c r="B149" s="648"/>
      <c r="C149" s="593"/>
      <c r="E149" s="649"/>
      <c r="G149" s="596"/>
      <c r="H149" s="593"/>
      <c r="I149" s="597"/>
    </row>
    <row r="150" spans="1:9" s="594" customFormat="1" ht="12.75" x14ac:dyDescent="0.2">
      <c r="A150" s="591"/>
      <c r="B150" s="648"/>
      <c r="C150" s="593"/>
      <c r="E150" s="649"/>
      <c r="G150" s="596"/>
      <c r="H150" s="593"/>
      <c r="I150" s="597"/>
    </row>
    <row r="151" spans="1:9" s="594" customFormat="1" ht="12.75" x14ac:dyDescent="0.2">
      <c r="A151" s="591"/>
      <c r="B151" s="648"/>
      <c r="C151" s="593"/>
      <c r="E151" s="649"/>
      <c r="G151" s="596"/>
      <c r="H151" s="593"/>
      <c r="I151" s="597"/>
    </row>
    <row r="152" spans="1:9" s="594" customFormat="1" ht="12.75" x14ac:dyDescent="0.2">
      <c r="A152" s="591"/>
      <c r="B152" s="648"/>
      <c r="C152" s="593"/>
      <c r="E152" s="649"/>
      <c r="G152" s="596"/>
      <c r="H152" s="593"/>
      <c r="I152" s="597"/>
    </row>
    <row r="153" spans="1:9" s="594" customFormat="1" ht="12.75" x14ac:dyDescent="0.2">
      <c r="A153" s="591"/>
      <c r="B153" s="648"/>
      <c r="C153" s="593"/>
      <c r="E153" s="649"/>
      <c r="G153" s="596"/>
      <c r="H153" s="593"/>
      <c r="I153" s="597"/>
    </row>
    <row r="154" spans="1:9" s="594" customFormat="1" ht="12.75" x14ac:dyDescent="0.2">
      <c r="A154" s="591"/>
      <c r="B154" s="648"/>
      <c r="C154" s="593"/>
      <c r="E154" s="649"/>
      <c r="G154" s="596"/>
      <c r="H154" s="593"/>
      <c r="I154" s="597"/>
    </row>
    <row r="155" spans="1:9" s="594" customFormat="1" ht="12.75" x14ac:dyDescent="0.2">
      <c r="A155" s="591"/>
      <c r="B155" s="648"/>
      <c r="C155" s="593"/>
      <c r="E155" s="649"/>
      <c r="G155" s="596"/>
      <c r="H155" s="593"/>
      <c r="I155" s="597"/>
    </row>
    <row r="156" spans="1:9" s="594" customFormat="1" ht="12.75" x14ac:dyDescent="0.2">
      <c r="A156" s="591"/>
      <c r="B156" s="648"/>
      <c r="C156" s="593"/>
      <c r="E156" s="649"/>
      <c r="G156" s="596"/>
      <c r="H156" s="593"/>
      <c r="I156" s="597"/>
    </row>
    <row r="157" spans="1:9" s="594" customFormat="1" ht="12.75" x14ac:dyDescent="0.2">
      <c r="A157" s="591"/>
      <c r="B157" s="648"/>
      <c r="C157" s="593"/>
      <c r="E157" s="649"/>
      <c r="G157" s="596"/>
      <c r="H157" s="593"/>
      <c r="I157" s="597"/>
    </row>
    <row r="158" spans="1:9" s="594" customFormat="1" ht="12.75" x14ac:dyDescent="0.2">
      <c r="A158" s="591"/>
      <c r="B158" s="648"/>
      <c r="C158" s="593"/>
      <c r="E158" s="649"/>
      <c r="G158" s="596"/>
      <c r="H158" s="593"/>
      <c r="I158" s="597"/>
    </row>
    <row r="159" spans="1:9" s="513" customFormat="1" ht="12.75" x14ac:dyDescent="0.2">
      <c r="A159" s="598"/>
      <c r="B159" s="650"/>
      <c r="C159" s="490"/>
      <c r="E159" s="576"/>
      <c r="G159" s="601"/>
      <c r="H159" s="490"/>
      <c r="I159" s="602"/>
    </row>
    <row r="160" spans="1:9" s="513" customFormat="1" ht="12.75" x14ac:dyDescent="0.2">
      <c r="A160" s="598"/>
      <c r="B160" s="650"/>
      <c r="C160" s="490"/>
      <c r="E160" s="576"/>
      <c r="G160" s="601"/>
      <c r="H160" s="490"/>
      <c r="I160" s="602"/>
    </row>
    <row r="161" spans="1:9" s="513" customFormat="1" ht="12.75" x14ac:dyDescent="0.2">
      <c r="A161" s="598"/>
      <c r="B161" s="650"/>
      <c r="C161" s="490"/>
      <c r="E161" s="576"/>
      <c r="G161" s="601"/>
      <c r="H161" s="490"/>
      <c r="I161" s="602"/>
    </row>
    <row r="162" spans="1:9" s="513" customFormat="1" ht="12.75" x14ac:dyDescent="0.2">
      <c r="A162" s="598"/>
      <c r="B162" s="650"/>
      <c r="C162" s="490"/>
      <c r="E162" s="576"/>
      <c r="G162" s="601"/>
      <c r="H162" s="490"/>
      <c r="I162" s="602"/>
    </row>
  </sheetData>
  <autoFilter ref="A3:I68"/>
  <mergeCells count="73">
    <mergeCell ref="A2:C2"/>
    <mergeCell ref="D2:I2"/>
    <mergeCell ref="A5:A6"/>
    <mergeCell ref="B5:B6"/>
    <mergeCell ref="C5:C6"/>
    <mergeCell ref="D5:D6"/>
    <mergeCell ref="E5:E6"/>
    <mergeCell ref="F5:F6"/>
    <mergeCell ref="F9:F10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A26:B26"/>
    <mergeCell ref="A11:A25"/>
    <mergeCell ref="B11:B25"/>
    <mergeCell ref="C11:C25"/>
    <mergeCell ref="D11:D25"/>
    <mergeCell ref="E28:E32"/>
    <mergeCell ref="F28:F32"/>
    <mergeCell ref="G11:G13"/>
    <mergeCell ref="G14:G16"/>
    <mergeCell ref="G17:G19"/>
    <mergeCell ref="G20:G22"/>
    <mergeCell ref="G23:G25"/>
    <mergeCell ref="E11:E25"/>
    <mergeCell ref="F11:F25"/>
    <mergeCell ref="D38:D40"/>
    <mergeCell ref="A28:A32"/>
    <mergeCell ref="B28:B32"/>
    <mergeCell ref="C28:C32"/>
    <mergeCell ref="D28:D32"/>
    <mergeCell ref="A33:B33"/>
    <mergeCell ref="A36:B36"/>
    <mergeCell ref="A38:A40"/>
    <mergeCell ref="B38:B40"/>
    <mergeCell ref="C38:C40"/>
    <mergeCell ref="A41:B41"/>
    <mergeCell ref="A43:A44"/>
    <mergeCell ref="B43:B44"/>
    <mergeCell ref="C43:C44"/>
    <mergeCell ref="D43:D44"/>
    <mergeCell ref="F66:G66"/>
    <mergeCell ref="A68:B68"/>
    <mergeCell ref="F43:F44"/>
    <mergeCell ref="G43:G44"/>
    <mergeCell ref="A45:B45"/>
    <mergeCell ref="A48:B48"/>
    <mergeCell ref="A52:A53"/>
    <mergeCell ref="B52:B53"/>
    <mergeCell ref="C52:C53"/>
    <mergeCell ref="D52:D53"/>
    <mergeCell ref="E52:E53"/>
    <mergeCell ref="F52:F53"/>
    <mergeCell ref="E43:E44"/>
    <mergeCell ref="F67:G67"/>
    <mergeCell ref="A57:A59"/>
    <mergeCell ref="G57:G58"/>
    <mergeCell ref="H57:H59"/>
    <mergeCell ref="I57:I59"/>
    <mergeCell ref="A65:B65"/>
    <mergeCell ref="E58:E59"/>
    <mergeCell ref="F57:F59"/>
    <mergeCell ref="D57:D59"/>
    <mergeCell ref="C57:C59"/>
    <mergeCell ref="B57:B59"/>
  </mergeCells>
  <pageMargins left="0.70866141732283472" right="0.70866141732283472" top="0.74803149606299213" bottom="0.74803149606299213" header="0.31496062992125984" footer="0.31496062992125984"/>
  <pageSetup paperSize="9" scale="68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Фінансування</vt:lpstr>
      <vt:lpstr>Витрати</vt:lpstr>
      <vt:lpstr>Реєстр_грант</vt:lpstr>
      <vt:lpstr>Реєстр_софинанс</vt:lpstr>
      <vt:lpstr>Витрати!Область_печати</vt:lpstr>
      <vt:lpstr>Реєстр_грант!Область_печати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Yu_Zhukov</dc:creator>
  <cp:lastModifiedBy>Anastasiya</cp:lastModifiedBy>
  <cp:lastPrinted>2020-11-30T14:09:22Z</cp:lastPrinted>
  <dcterms:created xsi:type="dcterms:W3CDTF">2018-09-12T18:44:37Z</dcterms:created>
  <dcterms:modified xsi:type="dcterms:W3CDTF">2020-11-30T16:10:50Z</dcterms:modified>
</cp:coreProperties>
</file>